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FCA4F0A9-FB8E-49DE-8E9B-F00F7C808680}" xr6:coauthVersionLast="40" xr6:coauthVersionMax="40" xr10:uidLastSave="{00000000-0000-0000-0000-000000000000}"/>
  <bookViews>
    <workbookView xWindow="-120" yWindow="-120" windowWidth="29040" windowHeight="15990" firstSheet="4" activeTab="4" xr2:uid="{00000000-000D-0000-FFFF-FFFF00000000}"/>
  </bookViews>
  <sheets>
    <sheet name="Sheet2" sheetId="2" state="hidden" r:id="rId1"/>
    <sheet name="Sheet3" sheetId="3" state="hidden" r:id="rId2"/>
    <sheet name="Break up details-Chemo" sheetId="8" state="hidden" r:id="rId3"/>
    <sheet name="RA-CHEMO AREA" sheetId="17" state="hidden" r:id="rId4"/>
    <sheet name="HVAC BOQ-1" sheetId="64" r:id="rId5"/>
    <sheet name="VRF-ODU " sheetId="54" r:id="rId6"/>
    <sheet name="DX-SPLIT " sheetId="52" r:id="rId7"/>
    <sheet name="VRF_IDU  " sheetId="60" r:id="rId8"/>
    <sheet name="RECUPERATOR" sheetId="56" r:id="rId9"/>
    <sheet name="UH-01" sheetId="55" r:id="rId10"/>
    <sheet name="AIR CURTAIN" sheetId="61" r:id="rId11"/>
    <sheet name="FRESH AIR FAN-R01" sheetId="58" r:id="rId12"/>
    <sheet name="EXHAUST FAN-R01 " sheetId="57" r:id="rId13"/>
    <sheet name="VAV &amp; CANVAS" sheetId="44" r:id="rId14"/>
    <sheet name="CDP" sheetId="45" r:id="rId15"/>
    <sheet name="Boq " sheetId="33" state="hidden" r:id="rId16"/>
  </sheets>
  <externalReferences>
    <externalReference r:id="rId17"/>
    <externalReference r:id="rId18"/>
  </externalReferences>
  <definedNames>
    <definedName name="_xlnm._FilterDatabase" localSheetId="4" hidden="1">'HVAC BOQ-1'!$B$1:$B$144</definedName>
    <definedName name="_xlnm._FilterDatabase" localSheetId="7" hidden="1">'VRF_IDU  '!$C$1:$C$52</definedName>
    <definedName name="_xlnm.Print_Area" localSheetId="10">'AIR CURTAIN'!$A$2:$E$3</definedName>
    <definedName name="_xlnm.Print_Area" localSheetId="6">'DX-SPLIT '!$B$1:$T$5</definedName>
    <definedName name="_xlnm.Print_Area" localSheetId="12">'EXHAUST FAN-R01 '!$A$2:$E$3</definedName>
    <definedName name="_xlnm.Print_Area" localSheetId="8">RECUPERATOR!$A$2:$E$3</definedName>
    <definedName name="_xlnm.Print_Area" localSheetId="7">'VRF_IDU  '!$B$1:$AF$9</definedName>
    <definedName name="_xlnm.Print_Area" localSheetId="5">'VRF-ODU '!#REF!</definedName>
  </definedNames>
  <calcPr calcId="191029"/>
</workbook>
</file>

<file path=xl/calcChain.xml><?xml version="1.0" encoding="utf-8"?>
<calcChain xmlns="http://schemas.openxmlformats.org/spreadsheetml/2006/main">
  <c r="F11" i="64" l="1"/>
  <c r="F12" i="64"/>
  <c r="F13" i="64"/>
  <c r="F14" i="64"/>
  <c r="F15" i="64"/>
  <c r="F16" i="64"/>
  <c r="F17" i="64"/>
  <c r="F18" i="64"/>
  <c r="F19" i="64"/>
  <c r="F20" i="64"/>
  <c r="F21" i="64"/>
  <c r="F22" i="64"/>
  <c r="F23" i="64"/>
  <c r="F24" i="64"/>
  <c r="F25" i="64"/>
  <c r="F26" i="64"/>
  <c r="F27" i="64"/>
  <c r="F28" i="64"/>
  <c r="F29" i="64"/>
  <c r="F30" i="64"/>
  <c r="F31" i="64"/>
  <c r="F32" i="64"/>
  <c r="F33" i="64"/>
  <c r="F34" i="64"/>
  <c r="F35" i="64"/>
  <c r="F36" i="64"/>
  <c r="F37" i="64"/>
  <c r="F38" i="64"/>
  <c r="F39" i="64"/>
  <c r="F40" i="64"/>
  <c r="F41" i="64"/>
  <c r="F42" i="64"/>
  <c r="F43" i="64"/>
  <c r="F44" i="64"/>
  <c r="F45" i="64"/>
  <c r="F46" i="64"/>
  <c r="F47" i="64"/>
  <c r="F48" i="64"/>
  <c r="F49" i="64"/>
  <c r="F50" i="64"/>
  <c r="F51" i="64"/>
  <c r="F52" i="64"/>
  <c r="F53" i="64"/>
  <c r="F54" i="64"/>
  <c r="F55" i="64"/>
  <c r="F56" i="64"/>
  <c r="F57" i="64"/>
  <c r="F58" i="64"/>
  <c r="F59" i="64"/>
  <c r="F60" i="64"/>
  <c r="F61" i="64"/>
  <c r="F62" i="64"/>
  <c r="F63" i="64"/>
  <c r="F64" i="64"/>
  <c r="F65" i="64"/>
  <c r="F66" i="64"/>
  <c r="F67" i="64"/>
  <c r="F68" i="64"/>
  <c r="F69" i="64"/>
  <c r="F70" i="64"/>
  <c r="F71" i="64"/>
  <c r="F72" i="64"/>
  <c r="F73" i="64"/>
  <c r="F74" i="64"/>
  <c r="F75" i="64"/>
  <c r="F76" i="64"/>
  <c r="F81" i="64"/>
  <c r="F82" i="64"/>
  <c r="F83" i="64"/>
  <c r="F84" i="64"/>
  <c r="F85" i="64"/>
  <c r="F86" i="64"/>
  <c r="F87" i="64"/>
  <c r="F88" i="64"/>
  <c r="F89" i="64"/>
  <c r="F90" i="64"/>
  <c r="F91" i="64"/>
  <c r="F92" i="64"/>
  <c r="D93" i="64"/>
  <c r="F93" i="64" s="1"/>
  <c r="F96" i="64"/>
  <c r="F97" i="64"/>
  <c r="F98" i="64"/>
  <c r="F99" i="64"/>
  <c r="F100" i="64"/>
  <c r="F101" i="64"/>
  <c r="F102" i="64"/>
  <c r="F103" i="64"/>
  <c r="F104" i="64"/>
  <c r="F105" i="64"/>
  <c r="F106" i="64"/>
  <c r="F107" i="64"/>
  <c r="F108" i="64"/>
  <c r="F109" i="64"/>
  <c r="F110" i="64"/>
  <c r="F111" i="64"/>
  <c r="F112" i="64"/>
  <c r="F113" i="64"/>
  <c r="F115" i="64"/>
  <c r="F116" i="64"/>
  <c r="F117" i="64"/>
  <c r="F118" i="64"/>
  <c r="F119" i="64"/>
  <c r="F120" i="64"/>
  <c r="F121" i="64"/>
  <c r="F122" i="64"/>
  <c r="F123" i="64"/>
  <c r="F124" i="64"/>
  <c r="F125" i="64"/>
  <c r="F126" i="64"/>
  <c r="F127" i="64"/>
  <c r="F128" i="64"/>
  <c r="F129" i="64"/>
  <c r="F130" i="64"/>
  <c r="D131" i="64"/>
  <c r="F131" i="64" s="1"/>
  <c r="D132" i="64"/>
  <c r="F132" i="64" s="1"/>
  <c r="F133" i="64"/>
  <c r="F134" i="64"/>
  <c r="F135" i="64"/>
  <c r="F136" i="64"/>
  <c r="F137" i="64"/>
  <c r="F138" i="64"/>
  <c r="F139" i="64"/>
  <c r="F140" i="64"/>
  <c r="D141" i="64"/>
  <c r="F141" i="64" s="1"/>
  <c r="D142" i="64"/>
  <c r="F142" i="64" s="1"/>
  <c r="D143" i="64"/>
  <c r="F143" i="64" s="1"/>
  <c r="F10" i="64"/>
  <c r="F9" i="64" l="1"/>
  <c r="F6" i="64"/>
  <c r="F5" i="64"/>
  <c r="F4" i="64"/>
  <c r="F3" i="64"/>
  <c r="F2" i="64"/>
  <c r="F144" i="64" l="1"/>
  <c r="AJ52" i="60"/>
  <c r="AI52" i="60"/>
  <c r="AJ51" i="60"/>
  <c r="AI51" i="60"/>
  <c r="AJ50" i="60"/>
  <c r="AI50" i="60"/>
  <c r="AJ49" i="60"/>
  <c r="AI49" i="60"/>
  <c r="R49" i="60"/>
  <c r="O49" i="60"/>
  <c r="N49" i="60"/>
  <c r="F49" i="60"/>
  <c r="AJ48" i="60"/>
  <c r="R48" i="60"/>
  <c r="O48" i="60"/>
  <c r="N48" i="60"/>
  <c r="AI48" i="60" s="1"/>
  <c r="F48" i="60"/>
  <c r="AJ47" i="60"/>
  <c r="AI47" i="60"/>
  <c r="AJ46" i="60"/>
  <c r="AI46" i="60"/>
  <c r="AJ45" i="60"/>
  <c r="AI45" i="60"/>
  <c r="AJ44" i="60"/>
  <c r="AI44" i="60"/>
  <c r="AJ43" i="60"/>
  <c r="AJ53" i="60" s="1"/>
  <c r="AI43" i="60"/>
  <c r="AJ41" i="60"/>
  <c r="AI41" i="60"/>
  <c r="AJ40" i="60"/>
  <c r="AI40" i="60"/>
  <c r="AJ39" i="60"/>
  <c r="AI39" i="60"/>
  <c r="AJ38" i="60"/>
  <c r="AI38" i="60"/>
  <c r="AJ37" i="60"/>
  <c r="AI37" i="60"/>
  <c r="AJ36" i="60"/>
  <c r="AI36" i="60"/>
  <c r="AJ35" i="60"/>
  <c r="AI35" i="60"/>
  <c r="AJ33" i="60"/>
  <c r="AI33" i="60"/>
  <c r="AJ31" i="60"/>
  <c r="AI31" i="60"/>
  <c r="R30" i="60"/>
  <c r="AJ30" i="60" s="1"/>
  <c r="O30" i="60"/>
  <c r="N30" i="60"/>
  <c r="AI30" i="60" s="1"/>
  <c r="F30" i="60"/>
  <c r="F29" i="60" s="1"/>
  <c r="AJ29" i="60"/>
  <c r="AJ42" i="60" s="1"/>
  <c r="AH55" i="60" s="1"/>
  <c r="AH56" i="60" s="1"/>
  <c r="AH57" i="60" s="1"/>
  <c r="AI29" i="60"/>
  <c r="N29" i="60"/>
  <c r="AJ11" i="60"/>
  <c r="AI11" i="60"/>
  <c r="E16" i="57"/>
  <c r="E5" i="57"/>
  <c r="E4" i="57"/>
  <c r="D7" i="55"/>
  <c r="E7" i="55" s="1"/>
  <c r="N7" i="55" s="1"/>
  <c r="O7" i="55" s="1"/>
  <c r="D6" i="55"/>
  <c r="E6" i="55" s="1"/>
  <c r="N6" i="55" s="1"/>
  <c r="O6" i="55" s="1"/>
  <c r="J5" i="54"/>
  <c r="K5" i="54" s="1"/>
  <c r="G5" i="54"/>
  <c r="H5" i="54" s="1"/>
  <c r="I5" i="54" s="1"/>
  <c r="J4" i="54"/>
  <c r="K4" i="54" s="1"/>
  <c r="G4" i="54"/>
  <c r="H4" i="54" s="1"/>
  <c r="I4" i="54" s="1"/>
  <c r="J8" i="52"/>
  <c r="I8" i="52"/>
  <c r="T8" i="52" s="1"/>
  <c r="F8" i="52"/>
  <c r="J7" i="52"/>
  <c r="I7" i="52"/>
  <c r="W7" i="52" s="1"/>
  <c r="F7" i="52"/>
  <c r="AI53" i="60" l="1"/>
  <c r="AI55" i="60" s="1"/>
  <c r="AI56" i="60" s="1"/>
  <c r="AI42" i="60"/>
  <c r="AI62" i="60" l="1"/>
  <c r="AI57" i="60"/>
  <c r="M11" i="44"/>
  <c r="G165" i="33" l="1"/>
  <c r="G162" i="33"/>
  <c r="G160" i="33"/>
  <c r="G157" i="33"/>
  <c r="G156" i="33"/>
  <c r="G155" i="33"/>
  <c r="G154" i="33"/>
  <c r="G153" i="33"/>
  <c r="G152" i="33"/>
  <c r="G148" i="33"/>
  <c r="G146" i="33"/>
  <c r="G144" i="33"/>
  <c r="G142" i="33"/>
  <c r="G140" i="33"/>
  <c r="G136" i="33"/>
  <c r="G134" i="33"/>
  <c r="G132" i="33"/>
  <c r="G130" i="33"/>
  <c r="G128" i="33"/>
  <c r="G126" i="33"/>
  <c r="G122" i="33"/>
  <c r="G120" i="33"/>
  <c r="G118" i="33"/>
  <c r="G112" i="33"/>
  <c r="G110" i="33"/>
  <c r="G104" i="33"/>
  <c r="G103" i="33"/>
  <c r="G100" i="33"/>
  <c r="G92" i="33"/>
  <c r="G90" i="33"/>
  <c r="G88" i="33"/>
  <c r="G86" i="33"/>
  <c r="G84" i="33"/>
  <c r="G81" i="33"/>
  <c r="G78" i="33"/>
  <c r="G75" i="33"/>
  <c r="G73" i="33"/>
  <c r="G65" i="33"/>
  <c r="G61" i="33"/>
  <c r="G57" i="33"/>
  <c r="G94" i="33" s="1"/>
  <c r="E57" i="33"/>
  <c r="G53" i="33"/>
  <c r="G51" i="33"/>
  <c r="G46" i="33"/>
  <c r="G42" i="33"/>
  <c r="G38" i="33"/>
  <c r="G34" i="33"/>
  <c r="G30" i="33"/>
  <c r="G24" i="33"/>
  <c r="G21" i="33"/>
  <c r="G16" i="33"/>
  <c r="G12" i="33"/>
  <c r="E23" i="45"/>
  <c r="E22" i="45"/>
  <c r="E6" i="45"/>
  <c r="D13" i="44"/>
  <c r="M10" i="44"/>
  <c r="M8" i="44"/>
  <c r="M7" i="44"/>
  <c r="M6" i="44"/>
  <c r="M5" i="44"/>
  <c r="M4" i="44"/>
  <c r="H105" i="17"/>
  <c r="H98" i="17"/>
  <c r="F98" i="17"/>
  <c r="F100" i="17" s="1"/>
  <c r="H97" i="17"/>
  <c r="F97" i="17"/>
  <c r="H95" i="17"/>
  <c r="H100" i="17" s="1"/>
  <c r="F95" i="17"/>
  <c r="H93" i="17"/>
  <c r="F93" i="17"/>
  <c r="H92" i="17"/>
  <c r="F92" i="17"/>
  <c r="H79" i="17"/>
  <c r="F71" i="17"/>
  <c r="F69" i="17"/>
  <c r="H67" i="17"/>
  <c r="F67" i="17"/>
  <c r="H66" i="17"/>
  <c r="H69" i="17" s="1"/>
  <c r="F66" i="17"/>
  <c r="H65" i="17"/>
  <c r="H52" i="17"/>
  <c r="F47" i="17"/>
  <c r="F50" i="17" s="1"/>
  <c r="F54" i="17" s="1"/>
  <c r="F45" i="17"/>
  <c r="F44" i="17"/>
  <c r="H42" i="17"/>
  <c r="H45" i="17" s="1"/>
  <c r="F42" i="17"/>
  <c r="H40" i="17"/>
  <c r="F40" i="17"/>
  <c r="H39" i="17"/>
  <c r="F39" i="17"/>
  <c r="H38" i="17"/>
  <c r="H31" i="17"/>
  <c r="H33" i="17" s="1"/>
  <c r="H30" i="17"/>
  <c r="H28" i="17"/>
  <c r="H26" i="17"/>
  <c r="H24" i="17"/>
  <c r="F19" i="17"/>
  <c r="F18" i="17"/>
  <c r="F21" i="17" s="1"/>
  <c r="H16" i="17"/>
  <c r="H19" i="17" s="1"/>
  <c r="F16" i="17"/>
  <c r="H14" i="17"/>
  <c r="F14" i="17"/>
  <c r="H13" i="17"/>
  <c r="F13" i="17"/>
  <c r="H12" i="17"/>
  <c r="B86" i="8"/>
  <c r="C86" i="8" s="1"/>
  <c r="J75" i="8"/>
  <c r="J74" i="8"/>
  <c r="J73" i="8"/>
  <c r="J72" i="8"/>
  <c r="J71" i="8"/>
  <c r="J70" i="8"/>
  <c r="J69" i="8"/>
  <c r="J68" i="8"/>
  <c r="O67" i="8"/>
  <c r="N67" i="8"/>
  <c r="M67" i="8"/>
  <c r="L67" i="8"/>
  <c r="K67" i="8"/>
  <c r="J67" i="8"/>
  <c r="O66" i="8"/>
  <c r="N66" i="8"/>
  <c r="M66" i="8"/>
  <c r="L66" i="8"/>
  <c r="K66" i="8"/>
  <c r="J66" i="8"/>
  <c r="O65" i="8"/>
  <c r="N65" i="8"/>
  <c r="M65" i="8"/>
  <c r="L65" i="8"/>
  <c r="K65" i="8"/>
  <c r="J65" i="8"/>
  <c r="O64" i="8"/>
  <c r="N64" i="8"/>
  <c r="M64" i="8"/>
  <c r="L64" i="8"/>
  <c r="K64" i="8"/>
  <c r="J64" i="8"/>
  <c r="O63" i="8"/>
  <c r="N63" i="8"/>
  <c r="M63" i="8"/>
  <c r="L63" i="8"/>
  <c r="K63" i="8"/>
  <c r="J63" i="8"/>
  <c r="O62" i="8"/>
  <c r="N62" i="8"/>
  <c r="M62" i="8"/>
  <c r="L62" i="8"/>
  <c r="K62" i="8"/>
  <c r="J62" i="8"/>
  <c r="O61" i="8"/>
  <c r="N61" i="8"/>
  <c r="M61" i="8"/>
  <c r="L61" i="8"/>
  <c r="K61" i="8"/>
  <c r="J61" i="8"/>
  <c r="O60" i="8"/>
  <c r="N60" i="8"/>
  <c r="M60" i="8"/>
  <c r="L60" i="8"/>
  <c r="K60" i="8"/>
  <c r="J60" i="8"/>
  <c r="O59" i="8"/>
  <c r="N59" i="8"/>
  <c r="M59" i="8"/>
  <c r="L59" i="8"/>
  <c r="K59" i="8"/>
  <c r="J59" i="8"/>
  <c r="O58" i="8"/>
  <c r="N58" i="8"/>
  <c r="M58" i="8"/>
  <c r="L58" i="8"/>
  <c r="K58" i="8"/>
  <c r="J58" i="8"/>
  <c r="O57" i="8"/>
  <c r="N57" i="8"/>
  <c r="M57" i="8"/>
  <c r="L57" i="8"/>
  <c r="K57" i="8"/>
  <c r="J57" i="8"/>
  <c r="O56" i="8"/>
  <c r="N56" i="8"/>
  <c r="M56" i="8"/>
  <c r="L56" i="8"/>
  <c r="K56" i="8"/>
  <c r="J56" i="8"/>
  <c r="O55" i="8"/>
  <c r="N55" i="8"/>
  <c r="M55" i="8"/>
  <c r="L55" i="8"/>
  <c r="K55" i="8"/>
  <c r="J55" i="8"/>
  <c r="O54" i="8"/>
  <c r="N54" i="8"/>
  <c r="M54" i="8"/>
  <c r="L54" i="8"/>
  <c r="K54" i="8"/>
  <c r="J54" i="8"/>
  <c r="O53" i="8"/>
  <c r="N53" i="8"/>
  <c r="M53" i="8"/>
  <c r="L53" i="8"/>
  <c r="K53" i="8"/>
  <c r="J53" i="8"/>
  <c r="O52" i="8"/>
  <c r="N52" i="8"/>
  <c r="M52" i="8"/>
  <c r="L52" i="8"/>
  <c r="K52" i="8"/>
  <c r="J52" i="8"/>
  <c r="O51" i="8"/>
  <c r="N51" i="8"/>
  <c r="M51" i="8"/>
  <c r="L51" i="8"/>
  <c r="K51" i="8"/>
  <c r="J51" i="8"/>
  <c r="O50" i="8"/>
  <c r="N50" i="8"/>
  <c r="M50" i="8"/>
  <c r="L50" i="8"/>
  <c r="K50" i="8"/>
  <c r="J50" i="8"/>
  <c r="O49" i="8"/>
  <c r="N49" i="8"/>
  <c r="M49" i="8"/>
  <c r="L49" i="8"/>
  <c r="K49" i="8"/>
  <c r="J49" i="8"/>
  <c r="O48" i="8"/>
  <c r="N48" i="8"/>
  <c r="M48" i="8"/>
  <c r="L48" i="8"/>
  <c r="K48" i="8"/>
  <c r="J48" i="8"/>
  <c r="O47" i="8"/>
  <c r="N47" i="8"/>
  <c r="M47" i="8"/>
  <c r="L47" i="8"/>
  <c r="K47" i="8"/>
  <c r="J47" i="8"/>
  <c r="O46" i="8"/>
  <c r="N46" i="8"/>
  <c r="M46" i="8"/>
  <c r="L46" i="8"/>
  <c r="K46" i="8"/>
  <c r="J46" i="8"/>
  <c r="O45" i="8"/>
  <c r="N45" i="8"/>
  <c r="M45" i="8"/>
  <c r="L45" i="8"/>
  <c r="K45" i="8"/>
  <c r="J45" i="8"/>
  <c r="O44" i="8"/>
  <c r="N44" i="8"/>
  <c r="M44" i="8"/>
  <c r="L44" i="8"/>
  <c r="K44" i="8"/>
  <c r="J44" i="8"/>
  <c r="O43" i="8"/>
  <c r="N43" i="8"/>
  <c r="M43" i="8"/>
  <c r="L43" i="8"/>
  <c r="K43" i="8"/>
  <c r="J43" i="8"/>
  <c r="O42" i="8"/>
  <c r="N42" i="8"/>
  <c r="M42" i="8"/>
  <c r="L42" i="8"/>
  <c r="K42" i="8"/>
  <c r="J42" i="8"/>
  <c r="O41" i="8"/>
  <c r="N41" i="8"/>
  <c r="M41" i="8"/>
  <c r="L41" i="8"/>
  <c r="K41" i="8"/>
  <c r="J41" i="8"/>
  <c r="O40" i="8"/>
  <c r="N40" i="8"/>
  <c r="M40" i="8"/>
  <c r="L40" i="8"/>
  <c r="K40" i="8"/>
  <c r="J40" i="8"/>
  <c r="O39" i="8"/>
  <c r="N39" i="8"/>
  <c r="M39" i="8"/>
  <c r="L39" i="8"/>
  <c r="K39" i="8"/>
  <c r="J39" i="8"/>
  <c r="A39" i="8"/>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O38" i="8"/>
  <c r="N38" i="8"/>
  <c r="M38" i="8"/>
  <c r="L38" i="8"/>
  <c r="K38" i="8"/>
  <c r="J38" i="8"/>
  <c r="A38" i="8"/>
  <c r="O37" i="8"/>
  <c r="N37" i="8"/>
  <c r="M37" i="8"/>
  <c r="L37" i="8"/>
  <c r="K37" i="8"/>
  <c r="J37" i="8"/>
  <c r="A37" i="8"/>
  <c r="O36" i="8"/>
  <c r="N36" i="8"/>
  <c r="M36" i="8"/>
  <c r="L36" i="8"/>
  <c r="K36" i="8"/>
  <c r="J36" i="8"/>
  <c r="O35" i="8"/>
  <c r="N35" i="8"/>
  <c r="M35" i="8"/>
  <c r="L35" i="8"/>
  <c r="K35" i="8"/>
  <c r="J35" i="8"/>
  <c r="O34" i="8"/>
  <c r="N34" i="8"/>
  <c r="M34" i="8"/>
  <c r="L34" i="8"/>
  <c r="K34" i="8"/>
  <c r="J34" i="8"/>
  <c r="O33" i="8"/>
  <c r="N33" i="8"/>
  <c r="M33" i="8"/>
  <c r="L33" i="8"/>
  <c r="K33" i="8"/>
  <c r="J33" i="8"/>
  <c r="O32" i="8"/>
  <c r="N32" i="8"/>
  <c r="M32" i="8"/>
  <c r="L32" i="8"/>
  <c r="K32" i="8"/>
  <c r="J32" i="8"/>
  <c r="O31" i="8"/>
  <c r="N31" i="8"/>
  <c r="M31" i="8"/>
  <c r="L31" i="8"/>
  <c r="K31" i="8"/>
  <c r="J31" i="8"/>
  <c r="O30" i="8"/>
  <c r="N30" i="8"/>
  <c r="M30" i="8"/>
  <c r="L30" i="8"/>
  <c r="K30" i="8"/>
  <c r="J30" i="8"/>
  <c r="O29" i="8"/>
  <c r="N29" i="8"/>
  <c r="M29" i="8"/>
  <c r="L29" i="8"/>
  <c r="K29" i="8"/>
  <c r="J29" i="8"/>
  <c r="O28" i="8"/>
  <c r="N28" i="8"/>
  <c r="M28" i="8"/>
  <c r="L28" i="8"/>
  <c r="K28" i="8"/>
  <c r="J28" i="8"/>
  <c r="O27" i="8"/>
  <c r="N27" i="8"/>
  <c r="M27" i="8"/>
  <c r="L27" i="8"/>
  <c r="K27" i="8"/>
  <c r="J27" i="8"/>
  <c r="O26" i="8"/>
  <c r="N26" i="8"/>
  <c r="M26" i="8"/>
  <c r="L26" i="8"/>
  <c r="K26" i="8"/>
  <c r="J26" i="8"/>
  <c r="O25" i="8"/>
  <c r="N25" i="8"/>
  <c r="M25" i="8"/>
  <c r="L25" i="8"/>
  <c r="K25" i="8"/>
  <c r="J25" i="8"/>
  <c r="O24" i="8"/>
  <c r="N24" i="8"/>
  <c r="M24" i="8"/>
  <c r="L24" i="8"/>
  <c r="K24" i="8"/>
  <c r="J24" i="8"/>
  <c r="O23" i="8"/>
  <c r="N23" i="8"/>
  <c r="M23" i="8"/>
  <c r="L23" i="8"/>
  <c r="K23" i="8"/>
  <c r="J23" i="8"/>
  <c r="O22" i="8"/>
  <c r="N22" i="8"/>
  <c r="M22" i="8"/>
  <c r="L22" i="8"/>
  <c r="K22" i="8"/>
  <c r="J22" i="8"/>
  <c r="O21" i="8"/>
  <c r="N21" i="8"/>
  <c r="M21" i="8"/>
  <c r="L21" i="8"/>
  <c r="K21" i="8"/>
  <c r="J21" i="8"/>
  <c r="A21" i="8"/>
  <c r="A22" i="8" s="1"/>
  <c r="A23" i="8" s="1"/>
  <c r="A24" i="8" s="1"/>
  <c r="A25" i="8" s="1"/>
  <c r="A26" i="8" s="1"/>
  <c r="A27" i="8" s="1"/>
  <c r="A28" i="8" s="1"/>
  <c r="A29" i="8" s="1"/>
  <c r="A30" i="8" s="1"/>
  <c r="A31" i="8" s="1"/>
  <c r="A32" i="8" s="1"/>
  <c r="A33" i="8" s="1"/>
  <c r="A34" i="8" s="1"/>
  <c r="A35" i="8" s="1"/>
  <c r="O20" i="8"/>
  <c r="N20" i="8"/>
  <c r="M20" i="8"/>
  <c r="L20" i="8"/>
  <c r="K20" i="8"/>
  <c r="J20" i="8"/>
  <c r="A20" i="8"/>
  <c r="O19" i="8"/>
  <c r="N19" i="8"/>
  <c r="M19" i="8"/>
  <c r="L19" i="8"/>
  <c r="K19" i="8"/>
  <c r="J19" i="8"/>
  <c r="O17" i="8"/>
  <c r="N17" i="8"/>
  <c r="M17" i="8"/>
  <c r="L17" i="8"/>
  <c r="K17" i="8"/>
  <c r="J17" i="8"/>
  <c r="O16" i="8"/>
  <c r="N16" i="8"/>
  <c r="M16" i="8"/>
  <c r="L16" i="8"/>
  <c r="K16" i="8"/>
  <c r="J16" i="8"/>
  <c r="A16" i="8"/>
  <c r="A17" i="8" s="1"/>
  <c r="O15" i="8"/>
  <c r="N15" i="8"/>
  <c r="M15" i="8"/>
  <c r="L15" i="8"/>
  <c r="K15" i="8"/>
  <c r="J15" i="8"/>
  <c r="A15" i="8"/>
  <c r="M14" i="8"/>
  <c r="L14" i="8"/>
  <c r="K14" i="8"/>
  <c r="J14" i="8"/>
  <c r="J11" i="8" s="1"/>
  <c r="H14" i="8"/>
  <c r="A14" i="8"/>
  <c r="O13" i="8"/>
  <c r="N13" i="8"/>
  <c r="M13" i="8"/>
  <c r="L13" i="8"/>
  <c r="K13" i="8"/>
  <c r="J13" i="8"/>
  <c r="O11" i="8"/>
  <c r="N11" i="8"/>
  <c r="M11" i="8"/>
  <c r="L11" i="8"/>
  <c r="K11" i="8"/>
  <c r="H11" i="8"/>
  <c r="I4" i="8"/>
  <c r="T10" i="2"/>
  <c r="S10" i="2"/>
  <c r="G10" i="2"/>
  <c r="Q9" i="2"/>
  <c r="S9" i="2" s="1"/>
  <c r="P9" i="2"/>
  <c r="O9" i="2"/>
  <c r="M9" i="2"/>
  <c r="L9" i="2"/>
  <c r="K9" i="2"/>
  <c r="Q8" i="2"/>
  <c r="S8" i="2" s="1"/>
  <c r="T8" i="2" s="1"/>
  <c r="P8" i="2"/>
  <c r="O8" i="2"/>
  <c r="M8" i="2"/>
  <c r="F8" i="2" s="1"/>
  <c r="L8" i="2"/>
  <c r="K8" i="2"/>
  <c r="Y7" i="2"/>
  <c r="W7" i="2"/>
  <c r="V7" i="2"/>
  <c r="X7" i="2" s="1"/>
  <c r="T7" i="2"/>
  <c r="S7" i="2"/>
  <c r="G7" i="2"/>
  <c r="F7" i="2"/>
  <c r="H72" i="17" l="1"/>
  <c r="H71" i="17"/>
  <c r="H74" i="17" s="1"/>
  <c r="F103" i="17"/>
  <c r="F107" i="17" s="1"/>
  <c r="G87" i="8"/>
  <c r="I87" i="8" s="1"/>
  <c r="G86" i="8"/>
  <c r="I86" i="8" s="1"/>
  <c r="G89" i="8"/>
  <c r="I89" i="8" s="1"/>
  <c r="G88" i="8"/>
  <c r="I88" i="8" s="1"/>
  <c r="T9" i="2"/>
  <c r="H103" i="17"/>
  <c r="H107" i="17" s="1"/>
  <c r="F24" i="17"/>
  <c r="F28" i="17" s="1"/>
  <c r="F57" i="17"/>
  <c r="F56" i="17"/>
  <c r="F59" i="17" s="1"/>
  <c r="F61" i="17" s="1"/>
  <c r="G8" i="2"/>
  <c r="S6" i="2" s="1"/>
  <c r="W8" i="2"/>
  <c r="Y8" i="2" s="1"/>
  <c r="V8" i="2"/>
  <c r="X8" i="2" s="1"/>
  <c r="F72" i="17"/>
  <c r="F74" i="17" s="1"/>
  <c r="F9" i="2"/>
  <c r="H44" i="17"/>
  <c r="H47" i="17" s="1"/>
  <c r="H18" i="17"/>
  <c r="H21" i="17" s="1"/>
  <c r="H35" i="17" s="1"/>
  <c r="H77" i="17" l="1"/>
  <c r="H81" i="17" s="1"/>
  <c r="F77" i="17"/>
  <c r="F81" i="17" s="1"/>
  <c r="F110" i="17"/>
  <c r="F109" i="17"/>
  <c r="F112" i="17" s="1"/>
  <c r="F114" i="17" s="1"/>
  <c r="F31" i="17"/>
  <c r="F30" i="17"/>
  <c r="F33" i="17" s="1"/>
  <c r="F35" i="17" s="1"/>
  <c r="H110" i="17"/>
  <c r="H109" i="17"/>
  <c r="H112" i="17" s="1"/>
  <c r="H114" i="17" s="1"/>
  <c r="H50" i="17"/>
  <c r="H54" i="17" s="1"/>
  <c r="W9" i="2"/>
  <c r="Y9" i="2" s="1"/>
  <c r="V9" i="2"/>
  <c r="X9" i="2" s="1"/>
  <c r="G9" i="2"/>
  <c r="H59" i="17" l="1"/>
  <c r="H61" i="17" s="1"/>
  <c r="H57" i="17"/>
  <c r="H56" i="17"/>
  <c r="F84" i="17"/>
  <c r="F83" i="17"/>
  <c r="F86" i="17" s="1"/>
  <c r="F88" i="17" s="1"/>
  <c r="H84" i="17"/>
  <c r="H83" i="17"/>
  <c r="H86" i="17"/>
  <c r="H88" i="17" s="1"/>
</calcChain>
</file>

<file path=xl/sharedStrings.xml><?xml version="1.0" encoding="utf-8"?>
<sst xmlns="http://schemas.openxmlformats.org/spreadsheetml/2006/main" count="1492" uniqueCount="707">
  <si>
    <t>COSTING SHEET</t>
  </si>
  <si>
    <t>MATERIAL</t>
  </si>
  <si>
    <t>LABOUR</t>
  </si>
  <si>
    <t>Si No:</t>
  </si>
  <si>
    <t>Description</t>
  </si>
  <si>
    <t>Qty</t>
  </si>
  <si>
    <t>Uom</t>
  </si>
  <si>
    <t>Rate</t>
  </si>
  <si>
    <t>Amount</t>
  </si>
  <si>
    <t>BASIC PRICE</t>
  </si>
  <si>
    <t>OH@8%</t>
  </si>
  <si>
    <t>MARGIN @12%</t>
  </si>
  <si>
    <t>TOTAL RATE</t>
  </si>
  <si>
    <r>
      <rPr>
        <b/>
        <sz val="11"/>
        <rFont val="Calibri"/>
        <family val="2"/>
        <charset val="204"/>
        <scheme val="minor"/>
      </rPr>
      <t xml:space="preserve">DUCTING (G.I. SHEET) - </t>
    </r>
    <r>
      <rPr>
        <sz val="11"/>
        <rFont val="Calibri"/>
        <family val="2"/>
        <charset val="204"/>
        <scheme val="minor"/>
      </rPr>
      <t xml:space="preserve">
SUPPLY, RETURN, FRESH AND EXTRACT AIR DUCTING COMPLETE WITH ALL RELATED ACCESSORIES E.G. SUPPORTS HANGERS FLEX. CONNECTIONS, TEST HOLES, ACCESS PANELS.</t>
    </r>
  </si>
  <si>
    <t>24G</t>
  </si>
  <si>
    <t>SQ.MTR</t>
  </si>
  <si>
    <t>22G</t>
  </si>
  <si>
    <t>H</t>
  </si>
  <si>
    <t>SITC of EXTRACTS FOR VENTILATION FANS</t>
  </si>
  <si>
    <t>NOS</t>
  </si>
  <si>
    <t>SL
No.</t>
  </si>
  <si>
    <t>location</t>
  </si>
  <si>
    <t>Type</t>
  </si>
  <si>
    <t>Duct size - mm</t>
  </si>
  <si>
    <t>Length
in
mm</t>
  </si>
  <si>
    <t>Insulation
type</t>
  </si>
  <si>
    <t>Sheet thickness &amp; Area sqmtr.</t>
  </si>
  <si>
    <t>22 G</t>
  </si>
  <si>
    <t>20 G</t>
  </si>
  <si>
    <t>18 G</t>
  </si>
  <si>
    <t>Acoustic area Sft.</t>
  </si>
  <si>
    <t>Thermal
area Sqmt</t>
  </si>
  <si>
    <t>Remarks</t>
  </si>
  <si>
    <t>W1</t>
  </si>
  <si>
    <t>H1</t>
  </si>
  <si>
    <t>W2</t>
  </si>
  <si>
    <t>H2</t>
  </si>
  <si>
    <t>24 G</t>
  </si>
  <si>
    <t>Thk. Inch</t>
  </si>
  <si>
    <t>Thk.mm</t>
  </si>
  <si>
    <t xml:space="preserve"> A/T </t>
  </si>
  <si>
    <t>ALZAHARA -CHEMO AREA DUCT Measurement</t>
  </si>
  <si>
    <t xml:space="preserve">TOTAL QUANITITY </t>
  </si>
  <si>
    <t>FRESH AIR DUCT</t>
  </si>
  <si>
    <t>Waiting Area</t>
  </si>
  <si>
    <t>T</t>
  </si>
  <si>
    <t>EXHAUST AIR DUCT</t>
  </si>
  <si>
    <t>SUPPLY AIR DUCT</t>
  </si>
  <si>
    <t>8 TR AHU</t>
  </si>
  <si>
    <t xml:space="preserve">Total Qty </t>
  </si>
  <si>
    <t xml:space="preserve">Mtrs suppuort </t>
  </si>
  <si>
    <t>Nos.</t>
  </si>
  <si>
    <t xml:space="preserve">Thraeded Rod </t>
  </si>
  <si>
    <t xml:space="preserve">Rmtrs </t>
  </si>
  <si>
    <t>nut washer 8 mm</t>
  </si>
  <si>
    <t>nos</t>
  </si>
  <si>
    <t>slotted channel</t>
  </si>
  <si>
    <t>no.s</t>
  </si>
  <si>
    <t xml:space="preserve">anchor fastner </t>
  </si>
  <si>
    <t>HVAC works</t>
  </si>
  <si>
    <t>RATE ANALYSIS</t>
  </si>
  <si>
    <t>Dsecription</t>
  </si>
  <si>
    <t>Rate (INR)</t>
  </si>
  <si>
    <t>Rate (AED)</t>
  </si>
  <si>
    <t xml:space="preserve">Remarks </t>
  </si>
  <si>
    <t>Supply, fix, balance, and commission louvre type smooth
Volume control damper made of extruded aluminium linkage, lever, fixing arrangement etc.complete brass bushings</t>
  </si>
  <si>
    <t>650X200 mm</t>
  </si>
  <si>
    <t xml:space="preserve">Supply -Basic </t>
  </si>
  <si>
    <t>Sq Mtrs</t>
  </si>
  <si>
    <t>Accessories</t>
  </si>
  <si>
    <t xml:space="preserve">Unloading &amp; Shifting charge </t>
  </si>
  <si>
    <t xml:space="preserve">Sub Total </t>
  </si>
  <si>
    <t xml:space="preserve">Over Head Profit @ 13 % </t>
  </si>
  <si>
    <t xml:space="preserve">Margin @ 10% </t>
  </si>
  <si>
    <t xml:space="preserve">Total </t>
  </si>
  <si>
    <t xml:space="preserve">Installation &amp; Testing Commissioning </t>
  </si>
  <si>
    <t>labour rate with Tools -Fitter +Helper</t>
  </si>
  <si>
    <t>Hours</t>
  </si>
  <si>
    <t xml:space="preserve">Commissioning charge </t>
  </si>
  <si>
    <t xml:space="preserve">No. </t>
  </si>
  <si>
    <t xml:space="preserve">Supply +Installation Total </t>
  </si>
  <si>
    <t>400 X 150 mm</t>
  </si>
  <si>
    <t>350 X100 mm</t>
  </si>
  <si>
    <t>Supply ,Installation &amp; Testing of HEPA FILTER H14- ( 450 X450 mm size)</t>
  </si>
  <si>
    <t>No.s</t>
  </si>
  <si>
    <t>SI. NO</t>
  </si>
  <si>
    <t>DISCRIPTION OF ITEM</t>
  </si>
  <si>
    <t>UOM</t>
  </si>
  <si>
    <t>QTY</t>
  </si>
  <si>
    <t>EQUIPMENTS</t>
  </si>
  <si>
    <t>VRF Outdoor Units</t>
  </si>
  <si>
    <t>1.1.2</t>
  </si>
  <si>
    <t>Nos</t>
  </si>
  <si>
    <t xml:space="preserve"> Refnet Joints and Headers</t>
  </si>
  <si>
    <t>1.3.1</t>
  </si>
  <si>
    <t>1.3.2</t>
  </si>
  <si>
    <t>1.3.3</t>
  </si>
  <si>
    <t>1.3.4</t>
  </si>
  <si>
    <t>1.4.1</t>
  </si>
  <si>
    <t>1.4.2</t>
  </si>
  <si>
    <t>1.4.3</t>
  </si>
  <si>
    <t>1.4.4</t>
  </si>
  <si>
    <t>1.4.5</t>
  </si>
  <si>
    <t>1.4.6</t>
  </si>
  <si>
    <t>1.4.7</t>
  </si>
  <si>
    <t>1.4.8</t>
  </si>
  <si>
    <t>1.4.9</t>
  </si>
  <si>
    <t xml:space="preserve">REFRIGERANT PIPING </t>
  </si>
  <si>
    <t>Hard Copper Pipe 18Guage with 19mm thick Insulation ( 53.9 MM)</t>
  </si>
  <si>
    <t>Rmt</t>
  </si>
  <si>
    <t>Hard Copper Pipe 18Guage with 19mm thick Insulation ( 44.45MM)</t>
  </si>
  <si>
    <t>Hard Copper Pipe 18Guage with 19mm thick Insulation ( 41.2MM)</t>
  </si>
  <si>
    <t>Hard Copper Pipe 18Guage with 19mm thick Insulation ( 34.9MM)</t>
  </si>
  <si>
    <t>Hard Copper Pipe 18Guage with 19mm thick Insulation ( 31.8MM)</t>
  </si>
  <si>
    <t>Hard Copper Pipe 18Guage with 19mm  thick Insulation ( 28.6MM)</t>
  </si>
  <si>
    <t xml:space="preserve">  DUCTING AND ITS ACCESSORIES</t>
  </si>
  <si>
    <t>3.1.1</t>
  </si>
  <si>
    <t>Sq mtr</t>
  </si>
  <si>
    <t>3.1.2</t>
  </si>
  <si>
    <t>GRILLES,DIFFUSERS,LOUVERS</t>
  </si>
  <si>
    <t>Sq.mtr</t>
  </si>
  <si>
    <t>19 mm , Nitrile rubber</t>
  </si>
  <si>
    <t>Acoustic insulation</t>
  </si>
  <si>
    <t>15 mm , Nitrile rubber</t>
  </si>
  <si>
    <t>CONTROLS</t>
  </si>
  <si>
    <t xml:space="preserve">25 mm dia PVC drain pipe </t>
  </si>
  <si>
    <t xml:space="preserve">32 mm dia PVC drain pipe </t>
  </si>
  <si>
    <t xml:space="preserve">40 mm dia PVC drain pipe </t>
  </si>
  <si>
    <t>S.NO</t>
  </si>
  <si>
    <t>LENGTH</t>
  </si>
  <si>
    <t>AREA</t>
  </si>
  <si>
    <t>SQ.MT</t>
  </si>
  <si>
    <t xml:space="preserve">VAV DETAILS </t>
  </si>
  <si>
    <t>CANVAS CONNECTION</t>
  </si>
  <si>
    <t>SL NO</t>
  </si>
  <si>
    <t>TAG</t>
  </si>
  <si>
    <t>SIZE DIA (MM)</t>
  </si>
  <si>
    <t>SIZE</t>
  </si>
  <si>
    <t>VAV-01</t>
  </si>
  <si>
    <t>MM</t>
  </si>
  <si>
    <t>VAV-02</t>
  </si>
  <si>
    <t>VAV-03</t>
  </si>
  <si>
    <t>VAV-05</t>
  </si>
  <si>
    <t>VAV-04</t>
  </si>
  <si>
    <t>VAV-06</t>
  </si>
  <si>
    <t>VAV-07</t>
  </si>
  <si>
    <t>VAV-08</t>
  </si>
  <si>
    <t>TOTAL</t>
  </si>
  <si>
    <t>DRAIN PIPE MEASUREMENT</t>
  </si>
  <si>
    <t>TOTAL LENGTH</t>
  </si>
  <si>
    <t>METER</t>
  </si>
  <si>
    <t>CLIENT : NMC</t>
  </si>
  <si>
    <t>PROJECT : NMC SPECIALITY HOSPITAL</t>
  </si>
  <si>
    <t>SCOPE ; MEP-  HVAC, PLUMBING WORKS</t>
  </si>
  <si>
    <t>LOCATION : 5TH &amp; 6 TH FLOOR</t>
  </si>
  <si>
    <t>BUDGETARY OFFER FOR MEP WORKS (ANNEXURE-2)</t>
  </si>
  <si>
    <t>HVAC WORKS -5TH &amp;6 TH FLOOR</t>
  </si>
  <si>
    <t>S.No</t>
  </si>
  <si>
    <t xml:space="preserve"> Item Description</t>
  </si>
  <si>
    <t xml:space="preserve">Unit </t>
  </si>
  <si>
    <t xml:space="preserve">Unit Price </t>
  </si>
  <si>
    <t>Total Price AED</t>
  </si>
  <si>
    <t xml:space="preserve">HVACworks-VRF system </t>
  </si>
  <si>
    <t xml:space="preserve">Supply ,Installation,Testing &amp; Commssioning of new factory Supplied Variable Refrigerant Flow System.                                                            </t>
  </si>
  <si>
    <t xml:space="preserve">Supply of variable Refrigerant Flow airconditioning system complete with indoor &amp; outdoor units with individual corded controller as per the design capaicties of the IDU and ODU. </t>
  </si>
  <si>
    <t>Supply,Installation ,Testing &amp; Commssioning of Outdoor Units &amp; Indoor units,Refrigerant Piping &amp; ducting works</t>
  </si>
  <si>
    <t>L.S</t>
  </si>
  <si>
    <t>SITC of Drain Piping</t>
  </si>
  <si>
    <t>UPVC Schedule  40  drain piping for indoor units as per the design  diameters of the pipes. The pipes shall be insulated with 6mm thick nitrile rubber</t>
  </si>
  <si>
    <t>Rmtrs</t>
  </si>
  <si>
    <r>
      <rPr>
        <sz val="11"/>
        <rFont val="Calibri"/>
        <family val="2"/>
        <charset val="204"/>
        <scheme val="minor"/>
      </rPr>
      <t xml:space="preserve">Supply,Installation,Testing &amp; commssioning of </t>
    </r>
    <r>
      <rPr>
        <b/>
        <sz val="11"/>
        <rFont val="Calibri"/>
        <family val="2"/>
        <charset val="204"/>
        <scheme val="minor"/>
      </rPr>
      <t>Treated Fresh  Air Handling Units - DX type-Floor mounted type</t>
    </r>
    <r>
      <rPr>
        <sz val="11"/>
        <rFont val="Calibri"/>
        <family val="2"/>
        <charset val="204"/>
        <scheme val="minor"/>
      </rPr>
      <t xml:space="preserve"> with Prefilter 10 micron G4,Fine Filter,Mixing Box &amp; accessories</t>
    </r>
  </si>
  <si>
    <t>a</t>
  </si>
  <si>
    <t>Air flow 1794 L/s , Total Coil load 63 KW  - FIFTH FLOOR</t>
  </si>
  <si>
    <t>(Double Skin Floor mounted FAHU with mixing Box)</t>
  </si>
  <si>
    <t xml:space="preserve">External Static Pressure 25 MM </t>
  </si>
  <si>
    <t>b</t>
  </si>
  <si>
    <t>Air flow 2090 L/s ,Total Coil load 77 KW - SIXTH FLOOR</t>
  </si>
  <si>
    <t>External Static Pressure 25 MM</t>
  </si>
  <si>
    <r>
      <rPr>
        <sz val="11"/>
        <rFont val="Calibri"/>
        <family val="2"/>
        <charset val="204"/>
        <scheme val="minor"/>
      </rPr>
      <t xml:space="preserve">Supply,Installation,Testing &amp; commssioning of  </t>
    </r>
    <r>
      <rPr>
        <b/>
        <sz val="11"/>
        <rFont val="Calibri"/>
        <family val="2"/>
        <charset val="204"/>
        <scheme val="minor"/>
      </rPr>
      <t xml:space="preserve"> Air Handling Units - DX type-Floor mounted type </t>
    </r>
    <r>
      <rPr>
        <sz val="11"/>
        <rFont val="Calibri"/>
        <family val="2"/>
        <charset val="204"/>
        <scheme val="minor"/>
      </rPr>
      <t xml:space="preserve">with &amp; prefilter 10 micron G4,Fine Filter,Mixing Box &amp; accessories and condensing unit </t>
    </r>
  </si>
  <si>
    <t>A</t>
  </si>
  <si>
    <t>Air flow 1347 L/s , Total Coil load 24.9 KW - 7 BED ICU</t>
  </si>
  <si>
    <t>External Static Pressure 20 MM</t>
  </si>
  <si>
    <t xml:space="preserve">with heater 2x2 Kw </t>
  </si>
  <si>
    <t>B</t>
  </si>
  <si>
    <t xml:space="preserve">Air flow 936 L/s , Total Coil load 15.8 KW - C SUCTION OT </t>
  </si>
  <si>
    <t xml:space="preserve">External Static Pressure75 MM </t>
  </si>
  <si>
    <t xml:space="preserve">with heater 1 Kw </t>
  </si>
  <si>
    <t>C</t>
  </si>
  <si>
    <t xml:space="preserve">Air flow 537 L/s , Total  Coil load 9.1 KW - PREPARATION ROOM </t>
  </si>
  <si>
    <t xml:space="preserve">without  heater </t>
  </si>
  <si>
    <t>D</t>
  </si>
  <si>
    <t xml:space="preserve">Air flow 739 L/s ,Total Coil load 8.5 KW- DELIVERY ROOM </t>
  </si>
  <si>
    <t>External Static Pressure 75 MM</t>
  </si>
  <si>
    <t xml:space="preserve">with heater 1.5 Kw </t>
  </si>
  <si>
    <t>E</t>
  </si>
  <si>
    <t xml:space="preserve">Air flow 385 L/s , Total Coil load 5.9 KW - STERILE STORE,CONSUMABLE STORE &amp;  SEMI STERILE </t>
  </si>
  <si>
    <t>Supply,Installation,Testing &amp; commssioning of   Inline centrifugal fan as per design standards / shop drawings</t>
  </si>
  <si>
    <t>Airflow 425 L/s - FIFTH FLOOR</t>
  </si>
  <si>
    <t>Airflow 700 L/s- SIXTH FLOOR</t>
  </si>
  <si>
    <t>Supply of sheet metal machine made, prefabricated duct in accordance wit the approve shop drawings complete  with all accessories like vanes,flanges,corners cleats,Gasket and as required specifications. For FAD  works with supporting  arrangements</t>
  </si>
  <si>
    <t xml:space="preserve">24 Guage  </t>
  </si>
  <si>
    <t>Sq.mtrs</t>
  </si>
  <si>
    <t xml:space="preserve">22 Gauge </t>
  </si>
  <si>
    <t>RO</t>
  </si>
  <si>
    <t>Supply of sheet metal machine made, prefabricated duct in accordance wit the approve shop drawings complete  with all accessories like vanes,flanges,corners cleats,Gasket and as required specifications. For EAD  works with supporting  arrangements</t>
  </si>
  <si>
    <t>Refrigerant Piping</t>
  </si>
  <si>
    <t xml:space="preserve">Supply and installation ,Testing Commissioning of Refrigerant Copper piping insulated with Nitrile Rubber Tubular Insulation </t>
  </si>
  <si>
    <t>note : condensing side copper piping considered 6 rmtrs maximum  exceeding will be additional chargable</t>
  </si>
  <si>
    <t>THERMAL/ ACCOUSTIC INSULATION</t>
  </si>
  <si>
    <t xml:space="preserve">Supply and fixing of external insulation on supply &amp; return air ducts as per specification. Material of insulation shall be closed cell crosslinked polyethelene/Nitrile rubber as per thickness given below:   </t>
  </si>
  <si>
    <t>13 mm thick Thermal insulation</t>
  </si>
  <si>
    <t>10 mm thick accoustic lining</t>
  </si>
  <si>
    <t>Supply ,Installation of Volume Control damper as per the designed  specifications</t>
  </si>
  <si>
    <t xml:space="preserve">Supply ,Installation ,Testing &amp; Commissioning of DDC Panel with all necessary cabling works as per design standards </t>
  </si>
  <si>
    <t>Unit</t>
  </si>
  <si>
    <t>Supply ,Installation   of Grills &amp; Diffusers</t>
  </si>
  <si>
    <t>Supply ,Installation of  Sand Trap / Extract Air Louvers</t>
  </si>
  <si>
    <t>Supply &amp; installation of Aluminium cladding ( 0.6 mm thk  AL sheet)  for Exposed duct area</t>
  </si>
  <si>
    <t>Allow for submission of  Submittals &amp; Drawing samples</t>
  </si>
  <si>
    <t>Allow for Painting &amp; identification  Equipments &amp; units</t>
  </si>
  <si>
    <t xml:space="preserve">TOTAL PRICE FOR 5F TO 6TH  FLOOR HVAC WORKS </t>
  </si>
  <si>
    <t>PLUMBING WORKS  -5TH &amp;6 TH FLOOR</t>
  </si>
  <si>
    <t>A.</t>
  </si>
  <si>
    <t>SANITARY FIXTURES &amp; FITTINGS</t>
  </si>
  <si>
    <r>
      <rPr>
        <sz val="11"/>
        <rFont val="Calibri"/>
        <family val="2"/>
        <charset val="204"/>
        <scheme val="minor"/>
      </rPr>
      <t xml:space="preserve">Supply,Installation ,Testing &amp; Commissioning of </t>
    </r>
    <r>
      <rPr>
        <b/>
        <sz val="11"/>
        <rFont val="Calibri"/>
        <family val="2"/>
        <charset val="204"/>
        <scheme val="minor"/>
      </rPr>
      <t>European Water Closet</t>
    </r>
    <r>
      <rPr>
        <sz val="11"/>
        <rFont val="Calibri"/>
        <family val="2"/>
        <charset val="204"/>
        <scheme val="minor"/>
      </rPr>
      <t xml:space="preserve"> with seat cover, &amp; Health Faucet, Flush tank , angle valve, track bolt and accessories</t>
    </r>
  </si>
  <si>
    <r>
      <rPr>
        <sz val="11"/>
        <rFont val="Calibri"/>
        <family val="2"/>
        <charset val="204"/>
        <scheme val="minor"/>
      </rPr>
      <t xml:space="preserve">Supply,Installation ,Testing &amp; Commissioning of </t>
    </r>
    <r>
      <rPr>
        <b/>
        <sz val="11"/>
        <rFont val="Calibri"/>
        <family val="2"/>
        <charset val="204"/>
        <scheme val="minor"/>
      </rPr>
      <t xml:space="preserve"> Wash basin </t>
    </r>
    <r>
      <rPr>
        <sz val="11"/>
        <rFont val="Calibri"/>
        <family val="2"/>
        <charset val="204"/>
        <scheme val="minor"/>
      </rPr>
      <t xml:space="preserve"> with ,CI / MS brackets angle cock, trap and accessories </t>
    </r>
  </si>
  <si>
    <t>FLAT BACK WITH BASIN MIXER</t>
  </si>
  <si>
    <t>FLAT BACK WITH PILLAR COCK</t>
  </si>
  <si>
    <r>
      <rPr>
        <sz val="11"/>
        <rFont val="Calibri"/>
        <family val="2"/>
        <charset val="204"/>
        <scheme val="minor"/>
      </rPr>
      <t>Supply,Installation ,Testing &amp; Commissioning  of</t>
    </r>
    <r>
      <rPr>
        <b/>
        <sz val="11"/>
        <rFont val="Calibri"/>
        <family val="2"/>
        <charset val="204"/>
        <scheme val="minor"/>
      </rPr>
      <t xml:space="preserve"> Water heater </t>
    </r>
    <r>
      <rPr>
        <sz val="11"/>
        <rFont val="Calibri"/>
        <family val="2"/>
        <charset val="204"/>
        <scheme val="minor"/>
      </rPr>
      <t>with bracket,angle valve,flexible hose</t>
    </r>
  </si>
  <si>
    <t>No</t>
  </si>
  <si>
    <r>
      <rPr>
        <sz val="11"/>
        <rFont val="Calibri"/>
        <family val="2"/>
        <charset val="204"/>
        <scheme val="minor"/>
      </rPr>
      <t xml:space="preserve">Supply,Installation &amp; Testing of  </t>
    </r>
    <r>
      <rPr>
        <b/>
        <sz val="11"/>
        <rFont val="Calibri"/>
        <family val="2"/>
        <charset val="204"/>
        <scheme val="minor"/>
      </rPr>
      <t xml:space="preserve">Sink with mixer </t>
    </r>
    <r>
      <rPr>
        <sz val="11"/>
        <rFont val="Calibri"/>
        <family val="2"/>
        <charset val="204"/>
        <scheme val="minor"/>
      </rPr>
      <t>,braided hose,angle valve, tap</t>
    </r>
  </si>
  <si>
    <t>Supply,Installation &amp; Testing of Bibcock</t>
  </si>
  <si>
    <r>
      <rPr>
        <sz val="11"/>
        <rFont val="Calibri"/>
        <family val="2"/>
        <charset val="204"/>
        <scheme val="minor"/>
      </rPr>
      <t xml:space="preserve">Supply,Installation  &amp; Testing of  </t>
    </r>
    <r>
      <rPr>
        <b/>
        <sz val="11"/>
        <rFont val="Calibri"/>
        <family val="2"/>
        <charset val="204"/>
        <scheme val="minor"/>
      </rPr>
      <t xml:space="preserve">Shower set </t>
    </r>
    <r>
      <rPr>
        <sz val="11"/>
        <rFont val="Calibri"/>
        <family val="2"/>
        <charset val="204"/>
        <scheme val="minor"/>
      </rPr>
      <t>with  accessories Over head Shower,Spout,diverter,shower tray  etc.</t>
    </r>
  </si>
  <si>
    <t>B.</t>
  </si>
  <si>
    <t>Drainage/Domestic water supply  Piping works</t>
  </si>
  <si>
    <t>Supply,Installation  &amp; Testing of  UPVC SWR pipes for drainage /waste water line works</t>
  </si>
  <si>
    <t>110 mm dia</t>
  </si>
  <si>
    <t>75 mm dia</t>
  </si>
  <si>
    <t>50 mm dia</t>
  </si>
  <si>
    <t>Supply,Installation  &amp; Testing of  PPR(PN 20 )pipes for  domestic/ cold   /hot water line works</t>
  </si>
  <si>
    <t>32 mm dia</t>
  </si>
  <si>
    <t>25 mm dia</t>
  </si>
  <si>
    <t>20 mm dia</t>
  </si>
  <si>
    <t>15 mm dia</t>
  </si>
  <si>
    <t>Supply,Installation  &amp; Testing of 110 X 75 mm multi floor trap with SS Gratings</t>
  </si>
  <si>
    <t>Supply,Installation  &amp; Testing of Brass Ball Valve for Domestic &amp; hotwater line</t>
  </si>
  <si>
    <t xml:space="preserve">15 mm dia </t>
  </si>
  <si>
    <t xml:space="preserve">20 mm dia </t>
  </si>
  <si>
    <t xml:space="preserve">25 mm dia </t>
  </si>
  <si>
    <t xml:space="preserve">32  mm dia </t>
  </si>
  <si>
    <t xml:space="preserve">Supplying, Installing &amp; Testing at site in position micro cellular closed cell Nitrile rubber elastomeric insulation (UL-94 Approved) tubes/ sheets(9mm thick) for the hot water supply pipes with protective glass fabric &amp; co-extruded polymeric covering for UV &amp; mechanical protection. </t>
  </si>
  <si>
    <t>15 mm</t>
  </si>
  <si>
    <t>20 mm</t>
  </si>
  <si>
    <t>25 mm</t>
  </si>
  <si>
    <t xml:space="preserve">32 mm </t>
  </si>
  <si>
    <t>40 mm</t>
  </si>
  <si>
    <t>50 mm</t>
  </si>
  <si>
    <t xml:space="preserve">TOTAL PRICE FOR 5F TO 6TH  FLOOR PLUMBING WORKS </t>
  </si>
  <si>
    <t>IF-IDU-09</t>
  </si>
  <si>
    <t>Hard Copper Pipe 18Guage with 13mm  thick Insulation ( 25.4 MM)</t>
  </si>
  <si>
    <t>Hard Copper Pipe 18Guage with 13mm   thick Insulation ( 22.2MM)</t>
  </si>
  <si>
    <t>Hard Copper Pipe 18Guage with 13mm  thick Insulation ( 19.05MM)</t>
  </si>
  <si>
    <t>Hard Copper Pipe 18Guage with 13mm   thick Insulation ( 15.9MM)</t>
  </si>
  <si>
    <t>Hard Copper Pipe 18Guage with 13mm   thick Insulation ( 12.7MM)</t>
  </si>
  <si>
    <t>Hard Copper Pipe 18Guage with 13mm   thick Insulation ( 9.53MM)</t>
  </si>
  <si>
    <t>Hard Copper Pipe 18Guage with 13mm   thick Insulation ( 6.35MM)</t>
  </si>
  <si>
    <t xml:space="preserve">Indoor refnet joints </t>
  </si>
  <si>
    <t xml:space="preserve">Outdoor refnet joints </t>
  </si>
  <si>
    <t>LOT</t>
  </si>
  <si>
    <t xml:space="preserve">AHU                SA Flow       ESP           RA Flow        ESP           No. of         Coil load     EA Capacity      </t>
  </si>
  <si>
    <t>Air Handling Unit</t>
  </si>
  <si>
    <t>VRF Cassette unit</t>
  </si>
  <si>
    <t>Dx-Split Hi-Wall Unit</t>
  </si>
  <si>
    <t>Electric Unit Heater</t>
  </si>
  <si>
    <t>Duct work</t>
  </si>
  <si>
    <t>Factory Fabricated</t>
  </si>
  <si>
    <t>Conventional site fabricated  ducts using  Lock Forming Machines.</t>
  </si>
  <si>
    <t>Supply, Fabrication, Installation and Testing of sheet  metal  ducts in accordance with the approved shop  drawings and specifications. Ducts shall be fabricated using lock forming machine.</t>
  </si>
  <si>
    <t>100 MM</t>
  </si>
  <si>
    <t>Supply, Installation &amp; Testing of extruded aluminium powder coated air transfer grilles/ louvers to be provided at toilets doors &amp; above kitchen doors, as per approved shop drawings and specifications.</t>
  </si>
  <si>
    <t>Door Louvers</t>
  </si>
  <si>
    <t>Supply  and Application of  external thermal insulation  of   ducting  using  closed cell elastomeric insulation with  adhesive, longitudinal &amp; transverse joints sealed with adhesive as per specifications. Quoted  price  shall  be  inclusive  of  adhesive and  UV/ Mechanical  Protection using resistant paint &amp; Glass cloth/CSM</t>
  </si>
  <si>
    <t>Flexible duct joints</t>
  </si>
  <si>
    <t>-</t>
  </si>
  <si>
    <t>Louvers</t>
  </si>
  <si>
    <t>VRF Ductable unit</t>
  </si>
  <si>
    <t>Power Cabling</t>
  </si>
  <si>
    <t>Indoor to outdoor unit control cabling with PVC sheathed CU cable of 3C X 0.75 SQMM  through PVC conduits.</t>
  </si>
  <si>
    <t>Supply, laying, affecting connections &amp; Testing of  the   following sizes of 1.1 KV armoured PVC insulated aluminium/ copper conductor cables. Cables shall be inclusive conductor cables. Cables shall be inclusive of all clamps, saddles, screws, cable identification tags, cable terminal  joints  including  terminal lugs, insulating   tapes, MS conduit, affecting  terminal connections to the equipment as per the specifications and as required.</t>
  </si>
  <si>
    <t>4C      x     6      Sqmm cable    (Copper)</t>
  </si>
  <si>
    <t>4C      x     4      Sqmm cable    (Copper)</t>
  </si>
  <si>
    <t xml:space="preserve">4C      x     2.5    Sqmm cable     (Copper) </t>
  </si>
  <si>
    <t>4C      x     10      Sqmm cable    (Copper)</t>
  </si>
  <si>
    <t>Centralized master controller</t>
  </si>
  <si>
    <t>Control wiring</t>
  </si>
  <si>
    <t>Indoor to thermostat control cabling with PVC sheathed CU cable of 2C X 1.5SQMM  through PVC conduits (If units are remote controlling type, it cannot be considered)</t>
  </si>
  <si>
    <t>Supply Installation, Testing and Commissioning of  variable frequency drives for Air Handling   Units Supply and return fans. Variable frequency drives shall be provided with necessary sensors and   controllers complete with control wiring in all respect as required and as per the specifications. VFDs shall be provided with necessary bypass arrangement with existing electrical starter panels and IP-55 enclosure. The drives shall be suitable for  the  following motor rating: (Motor rating has to be checked and confirmed as per installed capacities)</t>
  </si>
  <si>
    <t>DP sensors</t>
  </si>
  <si>
    <t>Pressure sensors</t>
  </si>
  <si>
    <t>Variable Air Volume Units</t>
  </si>
  <si>
    <t>1.1.1</t>
  </si>
  <si>
    <t>1.2.1</t>
  </si>
  <si>
    <t>1.5.1</t>
  </si>
  <si>
    <t>1.6.1</t>
  </si>
  <si>
    <t>1.7.1</t>
  </si>
  <si>
    <t>1.7.2</t>
  </si>
  <si>
    <t>1.7.3</t>
  </si>
  <si>
    <t>1.7.4</t>
  </si>
  <si>
    <t>1.7.5</t>
  </si>
  <si>
    <t>1.7.6</t>
  </si>
  <si>
    <t>1.7.7</t>
  </si>
  <si>
    <t>1.7.8</t>
  </si>
  <si>
    <t>1.7.9</t>
  </si>
  <si>
    <t>1.7.10</t>
  </si>
  <si>
    <t>1.7.11</t>
  </si>
  <si>
    <t>1.7.12</t>
  </si>
  <si>
    <t>1.7.13</t>
  </si>
  <si>
    <t>1.7.14</t>
  </si>
  <si>
    <t>PIPING AND ITS ACCESSORIES</t>
  </si>
  <si>
    <t>2.1.1</t>
  </si>
  <si>
    <t>2.1.2</t>
  </si>
  <si>
    <t>2.1.3</t>
  </si>
  <si>
    <t>2.1.4</t>
  </si>
  <si>
    <t>2.1.5</t>
  </si>
  <si>
    <t>2.1.6</t>
  </si>
  <si>
    <t>2.1.7</t>
  </si>
  <si>
    <t>2.1.8</t>
  </si>
  <si>
    <t>2.1.9</t>
  </si>
  <si>
    <t>2.1.10</t>
  </si>
  <si>
    <t>2.1.11</t>
  </si>
  <si>
    <t>2.1.12</t>
  </si>
  <si>
    <t>2.1.13</t>
  </si>
  <si>
    <t>2.2.2</t>
  </si>
  <si>
    <t>2.2.1</t>
  </si>
  <si>
    <t>3.1.1.1</t>
  </si>
  <si>
    <t>3.1.1.2</t>
  </si>
  <si>
    <t>3.1.1.3</t>
  </si>
  <si>
    <t>3.1.1.4</t>
  </si>
  <si>
    <t>4.5.1</t>
  </si>
  <si>
    <t>Thermal Insulation</t>
  </si>
  <si>
    <t>6.5.1</t>
  </si>
  <si>
    <t>6.5.2</t>
  </si>
  <si>
    <t>6.6.1</t>
  </si>
  <si>
    <t>6.6.2</t>
  </si>
  <si>
    <t>6.6.3</t>
  </si>
  <si>
    <t>6.6.4</t>
  </si>
  <si>
    <t>6.7.1</t>
  </si>
  <si>
    <t>6.7.2</t>
  </si>
  <si>
    <t>6.7.3</t>
  </si>
  <si>
    <t>Supply, installation, testing and balancing of Factory made fresh air louvers with bird screen as per approved shop drawings. Shall be of approved colour &amp; shade. As per detailed schedule</t>
  </si>
  <si>
    <t xml:space="preserve"> No.                   (L/S)    (mm WG)       (L/s)       (mm WG)    Rows            kw               (L/s)           </t>
  </si>
  <si>
    <t>Proj.</t>
  </si>
  <si>
    <t>Medtrader Lab LLC</t>
  </si>
  <si>
    <t>Doc.</t>
  </si>
  <si>
    <t>Indoor unit schedule</t>
  </si>
  <si>
    <t>Prepared by</t>
  </si>
  <si>
    <t>Aneesh U</t>
  </si>
  <si>
    <t>Date:</t>
  </si>
  <si>
    <t>03.03.2022</t>
  </si>
  <si>
    <t>TYPE OF AC</t>
  </si>
  <si>
    <t>Area Served</t>
  </si>
  <si>
    <t>AHU TAG</t>
  </si>
  <si>
    <t xml:space="preserve">Supply Fan </t>
  </si>
  <si>
    <t>IDU SCHEDULE</t>
  </si>
  <si>
    <t>Power consuption</t>
  </si>
  <si>
    <t>Remark</t>
  </si>
  <si>
    <t>COOLING COIL DATA (DESIGN PARAMTER)</t>
  </si>
  <si>
    <t>SELECTION</t>
  </si>
  <si>
    <t>Cooling TR</t>
  </si>
  <si>
    <t>Heating TR</t>
  </si>
  <si>
    <t>Air Flow Rate</t>
  </si>
  <si>
    <t xml:space="preserve">External Static ESP </t>
  </si>
  <si>
    <t>Total Coil load</t>
  </si>
  <si>
    <t>Sensible coil load</t>
  </si>
  <si>
    <t xml:space="preserve">Entering Air DB/WB </t>
  </si>
  <si>
    <t>Leaving Air DB/WB</t>
  </si>
  <si>
    <t>Total Capacity</t>
  </si>
  <si>
    <t>Air flow rate</t>
  </si>
  <si>
    <t>Coil Type and row coil</t>
  </si>
  <si>
    <t>LPS</t>
  </si>
  <si>
    <t>Pa</t>
  </si>
  <si>
    <t>kW</t>
  </si>
  <si>
    <t>°C</t>
  </si>
  <si>
    <t>TR</t>
  </si>
  <si>
    <t>CFM</t>
  </si>
  <si>
    <t>W atts</t>
  </si>
  <si>
    <t>FIRST FLOOR</t>
  </si>
  <si>
    <t>Hi-Wall</t>
  </si>
  <si>
    <t>Electrical Room</t>
  </si>
  <si>
    <t>24.1 / 16.5</t>
  </si>
  <si>
    <t>13.0 / 12.3</t>
  </si>
  <si>
    <t>1-phase, 230V 50Hz</t>
  </si>
  <si>
    <t>Cooling only</t>
  </si>
  <si>
    <t>Notes:</t>
  </si>
  <si>
    <t>1.Given are Nominal capacities, Actual selection shall be done as per maximum ambient condition.</t>
  </si>
  <si>
    <t>2.Power consumption given are approximate, actual power consuption shall be consider as per equipment technical data sheet</t>
  </si>
  <si>
    <t>INDOOR UNIT SCHEDULE</t>
  </si>
  <si>
    <t>Return Fan</t>
  </si>
  <si>
    <t>Exhaust Air Flow Rate</t>
  </si>
  <si>
    <t>Fresh Air Flow Rate</t>
  </si>
  <si>
    <t>HEPA filter</t>
  </si>
  <si>
    <t xml:space="preserve">Fine filter </t>
  </si>
  <si>
    <t xml:space="preserve">Prefilter </t>
  </si>
  <si>
    <t>Mixing box</t>
  </si>
  <si>
    <t>Return air duct required/not required</t>
  </si>
  <si>
    <t>UV Lamp</t>
  </si>
  <si>
    <t>Humidifier</t>
  </si>
  <si>
    <t>Power consumption</t>
  </si>
  <si>
    <t>HEATING COIL DATA (DESIGN PARAMTER)</t>
  </si>
  <si>
    <t xml:space="preserve">Entering Air DB </t>
  </si>
  <si>
    <t xml:space="preserve">Leaving Air DB </t>
  </si>
  <si>
    <t>0.3 Microns</t>
  </si>
  <si>
    <t>5 Microns</t>
  </si>
  <si>
    <t>10 microns</t>
  </si>
  <si>
    <t>Lb/hr</t>
  </si>
  <si>
    <t>GROUND FLOOR</t>
  </si>
  <si>
    <t>FLM</t>
  </si>
  <si>
    <t>Bacteriology room /working area</t>
  </si>
  <si>
    <t>YES</t>
  </si>
  <si>
    <t>_</t>
  </si>
  <si>
    <t>3-Phase 400 V, 50/60 Hz</t>
  </si>
  <si>
    <t xml:space="preserve">Bacteriology preparation room </t>
  </si>
  <si>
    <t>Arch Zone 23-27 +Aliquoting area</t>
  </si>
  <si>
    <t>Zone-03</t>
  </si>
  <si>
    <t>Biochemistry/Microscope+Faeces Microscopy+Citology</t>
  </si>
  <si>
    <t>Emergency room</t>
  </si>
  <si>
    <t>BCC children</t>
  </si>
  <si>
    <t>BCC adult-2</t>
  </si>
  <si>
    <t>BCC adult-1</t>
  </si>
  <si>
    <t>Male specimen collection room</t>
  </si>
  <si>
    <t>Female specimen collection room</t>
  </si>
  <si>
    <t>WD - 005</t>
  </si>
  <si>
    <t>Extraction room</t>
  </si>
  <si>
    <t>Pre- Pcr Master mix area</t>
  </si>
  <si>
    <t>pcr analyzer/diagnosis</t>
  </si>
  <si>
    <t>prebox + pcr warehouse</t>
  </si>
  <si>
    <t>CSU</t>
  </si>
  <si>
    <t>Patient Reception</t>
  </si>
  <si>
    <t>1-phase, 220-240V,50Hz</t>
  </si>
  <si>
    <t>Bottom return</t>
  </si>
  <si>
    <t>CASSETTE</t>
  </si>
  <si>
    <t xml:space="preserve">Quality officer room </t>
  </si>
  <si>
    <t xml:space="preserve">Lab manager room </t>
  </si>
  <si>
    <t xml:space="preserve">Living room </t>
  </si>
  <si>
    <t>Reception-Labelling-Dispatching</t>
  </si>
  <si>
    <t>Autoclave sterilization room+waste room</t>
  </si>
  <si>
    <t>GF-IDU-03</t>
  </si>
  <si>
    <t>kitchen</t>
  </si>
  <si>
    <t>IF-IDU-01</t>
  </si>
  <si>
    <t>IF-IDU-02</t>
  </si>
  <si>
    <t>IF-IDU-05</t>
  </si>
  <si>
    <t>Kitchen</t>
  </si>
  <si>
    <t>IF-IDU-08</t>
  </si>
  <si>
    <t>GROUND FLOOR (CU-01)</t>
  </si>
  <si>
    <t>FIRST FLOOR (CU-02)</t>
  </si>
  <si>
    <t>2.AHUs serving to Lab area shall be with 3 stage filtration (Prefilter, Final filter and HEPA filter) and shall be with inbult UV-Lamp</t>
  </si>
  <si>
    <t>3.Power consumption given are approximate, actual power consuption shall be consider as per equipment technical data sheet</t>
  </si>
  <si>
    <t>ODU Capacity in HP</t>
  </si>
  <si>
    <t>Power consumption (kW)</t>
  </si>
  <si>
    <t>Note.</t>
  </si>
  <si>
    <t xml:space="preserve">Given is nominal capacity, selection shall be done based on actual capacity at  maximum ambient temperature </t>
  </si>
  <si>
    <t>VRF CONDENSING UNIT</t>
  </si>
  <si>
    <t>Sl.No</t>
  </si>
  <si>
    <t>MBH</t>
  </si>
  <si>
    <t>HP</t>
  </si>
  <si>
    <t>SYSTEM-01</t>
  </si>
  <si>
    <t>Heat pump (Heating and cooling)</t>
  </si>
  <si>
    <t>Ground Floor</t>
  </si>
  <si>
    <t>Roof</t>
  </si>
  <si>
    <t>SYSTEM-02</t>
  </si>
  <si>
    <t>First Floor</t>
  </si>
  <si>
    <t>Project Name - Medtrader Lab LLC</t>
  </si>
  <si>
    <t xml:space="preserve">ELECTRIC UNIT HEATER </t>
  </si>
  <si>
    <t>Area (Sq Ft)</t>
  </si>
  <si>
    <t>Infiltration Loss</t>
  </si>
  <si>
    <t>Exposed Area (Sq Ft)</t>
  </si>
  <si>
    <t>U-Value - Ashrae 92.1-2010</t>
  </si>
  <si>
    <t>Delta T (°F)</t>
  </si>
  <si>
    <t>Electric source</t>
  </si>
  <si>
    <t>Room Volume (Cu Ft)</t>
  </si>
  <si>
    <t xml:space="preserve">Roof </t>
  </si>
  <si>
    <t xml:space="preserve">Exterior </t>
  </si>
  <si>
    <t xml:space="preserve">Window </t>
  </si>
  <si>
    <t>Infiltration Factor</t>
  </si>
  <si>
    <t>Heat Loss (Btu/Hr)</t>
  </si>
  <si>
    <t>Heat Loss (KW)</t>
  </si>
  <si>
    <t>Quantity   (No.s)</t>
  </si>
  <si>
    <t>Received goods Check point</t>
  </si>
  <si>
    <t>EXHAUST AIR FAN DETAILS</t>
  </si>
  <si>
    <t>FLOOR SERVING</t>
  </si>
  <si>
    <t>FLOW RATE     L/s</t>
  </si>
  <si>
    <t>STATIC PRESSURE    (Pa)</t>
  </si>
  <si>
    <t xml:space="preserve"> FAN TYPE</t>
  </si>
  <si>
    <t>POWER TYPE</t>
  </si>
  <si>
    <t xml:space="preserve">ELECTRICAL POWER                                (W)                              </t>
  </si>
  <si>
    <t>MAKE</t>
  </si>
  <si>
    <t>MODEL</t>
  </si>
  <si>
    <t>GF-EF-01</t>
  </si>
  <si>
    <t>Extraction Room</t>
  </si>
  <si>
    <t>ROOF TOP CENTRIFUGAL FAN</t>
  </si>
  <si>
    <t>1-Phase,230 V</t>
  </si>
  <si>
    <t>KRUGER</t>
  </si>
  <si>
    <t>RDC 450/6P</t>
  </si>
  <si>
    <t>IN-LINE DIRECT DRIVEN CABINET FAN</t>
  </si>
  <si>
    <t>1-Phase, 230V</t>
  </si>
  <si>
    <t>CCD 8-8 180W 4P-1 1SK</t>
  </si>
  <si>
    <t>GF-EF-03</t>
  </si>
  <si>
    <t>IN-LINE CENTRIFUGAL CIRCULAR FAN</t>
  </si>
  <si>
    <t>GF-EF-04</t>
  </si>
  <si>
    <t>GF-EF-05</t>
  </si>
  <si>
    <t>GF-EF-06</t>
  </si>
  <si>
    <t>Toilet-4,Toilet-5</t>
  </si>
  <si>
    <t>GF-EF-07</t>
  </si>
  <si>
    <t>GF-EF-08</t>
  </si>
  <si>
    <t>Men, Women, Disabled Patients toilet &amp; Sanitary room</t>
  </si>
  <si>
    <t>GF-EF-09</t>
  </si>
  <si>
    <t>Bacteriology room /working area, Bacteriology preparation, Extraction room. Biosafety cabinet Exhaust</t>
  </si>
  <si>
    <t>GF-EF-10</t>
  </si>
  <si>
    <t>Lab area . Biosafety cabinet Exhaust</t>
  </si>
  <si>
    <t>GF-EF-11</t>
  </si>
  <si>
    <t>Biochemistry/microscope and cytology</t>
  </si>
  <si>
    <t>GF-EF-12</t>
  </si>
  <si>
    <t>Autoclave &amp; waste room</t>
  </si>
  <si>
    <t>1F-EF-01</t>
  </si>
  <si>
    <t>1F-EF-02</t>
  </si>
  <si>
    <t>1F-EF-03</t>
  </si>
  <si>
    <t>Battery room</t>
  </si>
  <si>
    <t>CEILING MOUNTED TYPE</t>
  </si>
  <si>
    <t>Note:  *Power consumption given are approximate, actual power consumption shall be consider as per equipment technical data sheet</t>
  </si>
  <si>
    <t>FRESH AIR FAN DETAILS</t>
  </si>
  <si>
    <t>AREA / UNIT SERVED</t>
  </si>
  <si>
    <t xml:space="preserve">ELECTRICAL                                POWER (W)                              </t>
  </si>
  <si>
    <t>FF-FF-01</t>
  </si>
  <si>
    <t>FF-FF-02</t>
  </si>
  <si>
    <t>Note:   *Power consumption given are approximate, actual power consuption shall be consider as per equipment technical data sheet</t>
  </si>
  <si>
    <t xml:space="preserve"> Customized VRF Indoor Units</t>
  </si>
  <si>
    <t xml:space="preserve">SITC of Electric Unit heaters with electric and control cable clamp metal screw, washer etc. Shall be suitable for operation on 230 V ± 10 %, 50 Hz, single phase AC supply complete as required. Shall be wall mounted type.  
</t>
  </si>
  <si>
    <t>SITC of VAV unit for supply air for rectangular ducts with thermostat and control. Vav Casing and damper blade made of galvanized sheet steel with proper seal and polyurethane plain bearings. Sensor tubes should be aluminium, maintenance free damper blade with minimum leakage rate.Actuator suitable for AC 24V 50 Hz and rated for dust pressure up to 50mm water gauge. As per detailed schedule</t>
  </si>
  <si>
    <t>Shall be used for interconnection between indoor and outdoor units. Shall be selected by the supplier depending on the machine configuration. Number of joints shall be minimized and optimized to suit system performance.Isulation shall be done.</t>
  </si>
  <si>
    <t>Supply, Installation, Testing &amp; Commissioning  of factory fabricated ductwork, Installation and  Testing  of  galvanized  sheet  metal ducts including  elbows, turning vanes, fire retardant  gaskets, slip  on  flanges,  GI fully threaded  rods,   GI supports/hangers etc. in accordance with the  approved shop drawings and specifications. The ducts shall be fabricated  and  installed  in  line with SMACNA standards.</t>
  </si>
  <si>
    <t xml:space="preserve">Supply, Installation, Testing &amp; Commissioning  of 125mm  deep Antivibration  Flexible Joints  made out of imported fire    retardant fabric with extruded aluminium  frame/ flange     on  both sides  of approved make.
</t>
  </si>
  <si>
    <t>SITC of acoustic insulation following thick  open cell nitrile rubber foam and properties of classO ,anti microbail,density of 140-180kg/m3 and applying the same on duct with glue.</t>
  </si>
  <si>
    <t>Variable Frequency Drives</t>
  </si>
  <si>
    <t>Supply,  Installation,  Testing and Commissioning  of  main  centralized controller to hook  up  indoor units . Controller shall however  be suitable for 40 groups of indoor units (including customized AHUs). The quoted price shall be inclusive of necessary BMS card &amp; integrator, controllers &amp; accessories required for BMS connectivity with Modbus/BACnet  protocol.</t>
  </si>
  <si>
    <t>Providing   and   fixing     in   position    the  following   GI   medium   class   pipes   for condensate  drain  cut  to required  lengths and installed with  all  screwed  joints  and providing  &amp;   fixing     in   position  the  necessary elbows, tees &amp; reducers with 25mm nitrile rubber insulation</t>
  </si>
  <si>
    <t>INSULATION</t>
  </si>
  <si>
    <t>CONDENSATE DRAIN PIPE</t>
  </si>
  <si>
    <t>System-02 VRF Outdoor Unit 12 HP-terrace floor</t>
  </si>
  <si>
    <t>System-01 VRF Outdoor Unit 26 HP (18+10)-terrace floor</t>
  </si>
  <si>
    <t>Entering Air DB</t>
  </si>
  <si>
    <t>Leaving Air DB</t>
  </si>
  <si>
    <t>1F-IDU-11/CU-11</t>
  </si>
  <si>
    <t>Floor standing ductable</t>
  </si>
  <si>
    <t>Storage</t>
  </si>
  <si>
    <t>GF-IDU-04/CU-04</t>
  </si>
  <si>
    <t>22.6 / 17.2</t>
  </si>
  <si>
    <t>14.5 / 14.0</t>
  </si>
  <si>
    <t>Heat Pump</t>
  </si>
  <si>
    <t>From supplier's catalogue</t>
  </si>
  <si>
    <t>kw</t>
  </si>
  <si>
    <t>GF-AHU-01</t>
  </si>
  <si>
    <t>25.9 / 19.1</t>
  </si>
  <si>
    <t>16.3 / 15.7</t>
  </si>
  <si>
    <t>*Suit for outside installation
*With VFD for supply fan
*Final capacity as per vendor selection
*Required HEPA filter with UV lamp at exhaust side also</t>
  </si>
  <si>
    <t>Zone-01</t>
  </si>
  <si>
    <t>GF-IDU-01A</t>
  </si>
  <si>
    <t>GF-IDU-01B/01C</t>
  </si>
  <si>
    <t>GF-IDU-05</t>
  </si>
  <si>
    <t xml:space="preserve">Drivers room </t>
  </si>
  <si>
    <t>GF-IDU-06</t>
  </si>
  <si>
    <t>GF-IDU-02</t>
  </si>
  <si>
    <t>GF-IDU-07</t>
  </si>
  <si>
    <t>GF-IDU-08</t>
  </si>
  <si>
    <t>GF-IDU-09</t>
  </si>
  <si>
    <t>GF-IDU-10</t>
  </si>
  <si>
    <t>GF-IDU-11</t>
  </si>
  <si>
    <t>Cabinet N2</t>
  </si>
  <si>
    <t>1</t>
  </si>
  <si>
    <t>Cabinet  N1</t>
  </si>
  <si>
    <t>Office N1</t>
  </si>
  <si>
    <t>IF-IDU-03</t>
  </si>
  <si>
    <t>Office N2</t>
  </si>
  <si>
    <t>IF-IDU-04</t>
  </si>
  <si>
    <t>Office N3</t>
  </si>
  <si>
    <t>Office N4</t>
  </si>
  <si>
    <t>IF-IDU-06A &amp; 06B</t>
  </si>
  <si>
    <t>2</t>
  </si>
  <si>
    <t>IF-IDU-07A &amp; 07B</t>
  </si>
  <si>
    <t>Meeting Room</t>
  </si>
  <si>
    <t>Reception and corridor</t>
  </si>
  <si>
    <t>Private room</t>
  </si>
  <si>
    <t>IF-IDU-10</t>
  </si>
  <si>
    <t>Total coil load (TR)</t>
  </si>
  <si>
    <t>Hcoil load after 10% diversity (TR)</t>
  </si>
  <si>
    <t>SYSTEM REF</t>
  </si>
  <si>
    <t>UNIT TYPE</t>
  </si>
  <si>
    <t>AREA SERVED</t>
  </si>
  <si>
    <t>TOTAL COOLING CAP</t>
  </si>
  <si>
    <t>TOTAL HEATING CAP</t>
  </si>
  <si>
    <t>SYSTEM CONFIGURATION</t>
  </si>
  <si>
    <t>POWER CONSUPTION</t>
  </si>
  <si>
    <t>LOCATION OF UNIT</t>
  </si>
  <si>
    <t>28 HP (12HP+16HP Nos)</t>
  </si>
  <si>
    <t>3-Phase 400 V, 50 HZ</t>
  </si>
  <si>
    <t>12 HP (12HPX1No)</t>
  </si>
  <si>
    <t>Ref.Name</t>
  </si>
  <si>
    <t>Required Heating (KW)</t>
  </si>
  <si>
    <t>Employee exchange-01</t>
  </si>
  <si>
    <t>GF-UH-01</t>
  </si>
  <si>
    <t>Employee exchange-02</t>
  </si>
  <si>
    <t>GF-UH-02</t>
  </si>
  <si>
    <t>Note</t>
  </si>
  <si>
    <t>Given capacity is heating load. Electrical load shall be considered as per selection</t>
  </si>
  <si>
    <t>RECUPERATOR DETAILS</t>
  </si>
  <si>
    <t>REC-1</t>
  </si>
  <si>
    <t>LAB MANAGER ROOM,LAB QUALITY OFFICER</t>
  </si>
  <si>
    <t>1 PHASE,220-240V</t>
  </si>
  <si>
    <t>REC-2</t>
  </si>
  <si>
    <t>RECEPTION</t>
  </si>
  <si>
    <t>REC-3</t>
  </si>
  <si>
    <t>GF-EF-02</t>
  </si>
  <si>
    <t>Employee exchange room</t>
  </si>
  <si>
    <t>5 Nos of WC at patient reception</t>
  </si>
  <si>
    <t>Closet N1+WC+Closet N3</t>
  </si>
  <si>
    <t>INLINE CENTRIFUGAL CIRCULAR FAN</t>
  </si>
  <si>
    <t>FRESH AIR FLOW RATE    L/s</t>
  </si>
  <si>
    <t>1F-IDU-1,2,3,9,10</t>
  </si>
  <si>
    <t>1-Phase,230V</t>
  </si>
  <si>
    <t>1F-IDU-4,5,6,7,8</t>
  </si>
  <si>
    <t xml:space="preserve">GF-AHU-01       3100          25               4100                -               6       45 clg/ 59 htg         720                    </t>
  </si>
  <si>
    <t>GF-IDU-01-01A- 9.7 kw Clg/5.0 Htg, 15 mm WG</t>
  </si>
  <si>
    <t xml:space="preserve">GF-IDU-01-01B/1C- 2.7 kw Clg/ 1.5kw Htg </t>
  </si>
  <si>
    <t>1.4.10</t>
  </si>
  <si>
    <t>1.4.11</t>
  </si>
  <si>
    <t>1.4.12</t>
  </si>
  <si>
    <t>1.4.13</t>
  </si>
  <si>
    <t>1.4.14</t>
  </si>
  <si>
    <t>1.4.15</t>
  </si>
  <si>
    <t>1.4.16</t>
  </si>
  <si>
    <t>GF-IDU-03- 5.4 kw Clg/ 5.4 kw Htg 5 mm WG</t>
  </si>
  <si>
    <t>GF-IDU-05- 4.0 kw Clg/ 4.0 kw Htg mm WG</t>
  </si>
  <si>
    <t>GF-IDU-06- 1.8 kw Clg/ 0.8 kw Htg 5 mm WG</t>
  </si>
  <si>
    <t>GF-IDU-02- 6.1 kw Clg/ 5.0 kw Htg</t>
  </si>
  <si>
    <t>GF-IDU-07- 2.3 kw Clg/ 2.3 kw Htg</t>
  </si>
  <si>
    <t>GF-IDU-08- 1.0 kw Clg/ 0.5 kw Htg</t>
  </si>
  <si>
    <t>GF-IDU-09- 1.1 kw Clg/ 0.6 kw Htg</t>
  </si>
  <si>
    <t>GF-IDU-10- 0.1 kw Clg/ 0.6 kw Htg</t>
  </si>
  <si>
    <t>GF-IDU-11- 0.1 kw Clg/ 0.6 kw Htg</t>
  </si>
  <si>
    <t>IF-IDU-01- 3.6 kw Clg/ 3.0 kw Htg</t>
  </si>
  <si>
    <t>IF-IDU-02- 2.8 kw Clg/ 1.8 kw Htg</t>
  </si>
  <si>
    <t>IF-IDU-03- 2.8 kw Clg/ 136 kw Htg</t>
  </si>
  <si>
    <t>IF-IDU-04- 2.6 kw Clg/ 1.4 kw Htg</t>
  </si>
  <si>
    <t>IF-IDU-05- 3.9 kw Clg/ 2.2 kw Htg</t>
  </si>
  <si>
    <t>IF-IDU-06A &amp; 06B- 2.3 kw Clg/ 1.4 kw Htg</t>
  </si>
  <si>
    <t>IF-IDU-07A &amp; 07B- 3.4 kw Clg/ 1.3 kw Htg</t>
  </si>
  <si>
    <t>1.4.17</t>
  </si>
  <si>
    <t>IF-IDU-08- 3.9 kw Clg/ 2.3 kw Htg</t>
  </si>
  <si>
    <t>IF-IDU-09- 4.7 kw Clg/ 6.0 kw Htg</t>
  </si>
  <si>
    <t>IF-IDU-10- 1.5 kw Clg/ 1.4 kw Htg</t>
  </si>
  <si>
    <t>1.5.2</t>
  </si>
  <si>
    <t>SITC of High efficiency (Minimum SEER-15) DX-Split ductable unit (Cooling &amp; Heeting ), shall be with Standard Accessories – operation manual, installation manual, paper pattern for installation, suction and liquid line with insulation, drain hose, clamp metal, insulation for fittings, sealing pads, screws, washers etc.Slotted angle iron tray to house refrigeration piping and electrical and control cabling complete with clamps, screws, washers etc. suitable for operation on 230 V ± 10 %, 50 Hz, single phase AC supply complete as required. Unit cooling capacity shall be based on ambient temperature of 35 deg C</t>
  </si>
  <si>
    <t>1F-IDU-11/CU-11- 7.8 kw- For Electrical room</t>
  </si>
  <si>
    <t>SITC of Double Skin Vertical / Horizontal type Floor Mounted type Air handling units with 46+/-2mm thick puff Insulated   48kg / m3 density TF quality sandwich panel and it shall be complete with double skin construction with thermal breaks assembled on extruded aluminium frame work as per the detailed specification given in AHU schedule oil section with six rows  deep DX cooling coil of  copper  tube &amp; aluminium fin  construction, squirrel cage induction motor, DIDW  Backward curve Direct Driven fan,thermal break and  vibration  isolators as per the AHU specifications. Coil size shall be selected  for  a  maximum  face velocity of 500 feet/minute  and  static pressure shall be as indicated.   The motor selected shall be energy efficient having efficiency (Class I) at full load ranging between 82.5% to 92% in accordance with motor rating as per specification.Motor shall be suitable for 415±10% volts, 50 cycles, 3 phase AC supply. Units shall be complete with opposed blade volume control dampers at supply and return air connections.Duct flexible connector (fire proof) shall be provided at out lets and return connections of AHU.  AHU shall be with 3 stage (Prefilter, final filter and HEPA filter) filtration with UV lamp next to filter. Exhaust shall be exhausted through a HEPA filter and UV lamp. Inner skin shall be Aluminium. (For Laborotory)</t>
  </si>
  <si>
    <t>GF-IDU-04/CU-04- 15.5 kW Clg/14.2 Htg</t>
  </si>
  <si>
    <t>GF-UH-01/02-1.3 Kw</t>
  </si>
  <si>
    <t>Supply, Installation, Testing &amp; Commissioning of Roof top centrifugal exhaust fan, with the capacity of 311 L/s, 500 Pa -GF-EF-01</t>
  </si>
  <si>
    <t>Supply, Installation, Testing &amp; Commissioning of IN-LINE DIRECT DRIVEN CABINET EXHAUST FAN, with the capacity of 88 L/s, 70 Pa -GF-EF-02 &amp; 03</t>
  </si>
  <si>
    <t>Supply, Installation, Testing &amp; Commissioning of IN-LINE CENTRIFUGAL CIRCULAR EXHAUST FAN, with the capacity of 160 L/s, 50 Pa - GF-EF-05</t>
  </si>
  <si>
    <t>Supply, Installation, Testing &amp; Commissioning of CEILING MOUNTED EXHAUST FAN, with the capacity of 56 L/s, 50 Pa-GF-EF-04</t>
  </si>
  <si>
    <t>Supply, Installation, Testing &amp; Commissioning of IN-LINE CENTRIFUGAL CIRCULAR EXHAUST FAN, with the capacity of 50 L/s, 50 Pa -GF-EF-06</t>
  </si>
  <si>
    <t>Supply, Installation, Testing &amp; Commissioning of IN-LINE CENTRIFUGAL CIRCULAR EXHAUST FAN, with the capacity of 125 L/s, 50 Pa -GF-EF-07</t>
  </si>
  <si>
    <t>Supply, Installation, Testing &amp; Commissioning of IN-LINE DIRECT DRIVEN CABINET EXHAUST FAN, with the capacity of 155 L/s, 100 Pa - GF-EF-08</t>
  </si>
  <si>
    <t>Supply, Installation, Testing &amp; Commissioning of IN-LINE CENTRIFUGAL CIRCULAR EXHAUST FAN, with the capacity of 75 L/s, 130 Pa  1F-EF-02</t>
  </si>
  <si>
    <t>Supply, Installation, Testing &amp; Commissioning of Roof top centrifugal exhaust fan, with the capacity of 306 L/s, 100 Pa - GF-EF-09</t>
  </si>
  <si>
    <t>Supply, Installation, Testing &amp; Commissioning of Roof top centrifugal exhaust fan, with the capacity of 128 L/s, 100 Pa - GF-EF-10</t>
  </si>
  <si>
    <t>Supply, Installation, Testing &amp; Commissioning of Roof top centrifugal exhaust fan, with the capacity of 278 L/s, 100 Pa -GF-EF-11</t>
  </si>
  <si>
    <t>Supply, Installation, Testing &amp; Commissioning of Roof top centrifugal exhaust fan, with the capacity of 150 L/s, 100 Pa --GF-EF-12</t>
  </si>
  <si>
    <t>Supply, Installation, Testing &amp; Commissioning of CEILING MOUNTED EXHAUST FAN, with the capacity of 50 L/s, 130 Pa - 1F-EF-01</t>
  </si>
  <si>
    <t>Supply, Installation, Testing &amp; Commissioning of CEILING MOUNTED TYPE EXHAUST FAN, with the capacity of 36 L/s, 50 Pa -1F-EF-03</t>
  </si>
  <si>
    <t>5 Kw -For AHU Supply fan</t>
  </si>
  <si>
    <t xml:space="preserve">SITC of ambient air curtain suitable for entrace doors </t>
  </si>
  <si>
    <t>Air Curtain</t>
  </si>
  <si>
    <t>AIR CURTAIN</t>
  </si>
  <si>
    <t>AIR CURTAIN-01</t>
  </si>
  <si>
    <t>RECEPTION DOOR - 2.1 METER</t>
  </si>
  <si>
    <t>AIR CURTAIN-02</t>
  </si>
  <si>
    <t>RECEPTION- 1 METER</t>
  </si>
  <si>
    <t>2.1 Meter Length -Air curtain 01</t>
  </si>
  <si>
    <t>1 Meter Legth- Air curtain 02</t>
  </si>
  <si>
    <t>RECUPERATOR</t>
  </si>
  <si>
    <t>1.9.1</t>
  </si>
  <si>
    <t>1.9.2</t>
  </si>
  <si>
    <t>1.9.1.1</t>
  </si>
  <si>
    <t>1.9.1.2</t>
  </si>
  <si>
    <t>1.9.2.1</t>
  </si>
  <si>
    <t>1.9.2.2</t>
  </si>
  <si>
    <t>260 L/s</t>
  </si>
  <si>
    <t>SITC High efficiency single zone/multizone of recuperator with EC fans suitable for ceiling instation. Efficicancy shall be above 90%</t>
  </si>
  <si>
    <t>100 L/s</t>
  </si>
  <si>
    <t>price</t>
  </si>
  <si>
    <t>sum</t>
  </si>
  <si>
    <r>
      <t xml:space="preserve">SITC of Digital / invert type VRF ODU. VRF Modular outdoor condensing units shall be (Heat pump type) equipped with highly efficient multiple scroll compressor with atleast one inverter compressor. All compressors being inverter type are also acceptable. Special acryl pre-quoted fin type heat exchanger. Super wiring system to integrate the control wiring between indoor units and the outdoor units and the transmission wiring to central remote controller into one common wiring. Unit cooling capacity shall be based on ambient temperature of 35 deg C, shall include low ambient controls and accessories operational to -10 deg.F and shall possess refrigerant R410A and Minimum SEER of 15.  The unit shall be suitable to work on 400 V +/-10%, 3 Phase, 50 Hz AC power supply. Quoted price shall be inclusive of  suitable ELCB for power provision. </t>
    </r>
    <r>
      <rPr>
        <b/>
        <sz val="8"/>
        <rFont val="Cambria"/>
        <family val="1"/>
        <scheme val="major"/>
      </rPr>
      <t>Capacities stated are tentative.</t>
    </r>
    <r>
      <rPr>
        <sz val="8"/>
        <rFont val="Cambria"/>
        <family val="1"/>
        <scheme val="major"/>
      </rPr>
      <t xml:space="preserve"> </t>
    </r>
    <r>
      <rPr>
        <b/>
        <sz val="8"/>
        <rFont val="Cambria"/>
        <family val="1"/>
        <scheme val="major"/>
      </rPr>
      <t>Supplier shall verify the equipment schedule and propose the capacity to suit the design</t>
    </r>
    <r>
      <rPr>
        <sz val="8"/>
        <rFont val="Cambria"/>
        <family val="1"/>
        <scheme val="major"/>
      </rPr>
      <t xml:space="preserve">
Note: The above mentioned outdoor units shall be provided with anti corrosion treatment (preferably from factory). The quoted price shall be inclusive of same.</t>
    </r>
  </si>
  <si>
    <r>
      <t xml:space="preserve">SITC of Ductable Indoor </t>
    </r>
    <r>
      <rPr>
        <b/>
        <sz val="8"/>
        <rFont val="Cambria"/>
        <family val="1"/>
        <scheme val="major"/>
      </rPr>
      <t xml:space="preserve">(Heating and cooling), </t>
    </r>
    <r>
      <rPr>
        <sz val="8"/>
        <rFont val="Cambria"/>
        <family val="1"/>
        <scheme val="major"/>
      </rPr>
      <t>shall be with EC motor</t>
    </r>
    <r>
      <rPr>
        <b/>
        <sz val="8"/>
        <rFont val="Cambria"/>
        <family val="1"/>
        <scheme val="major"/>
      </rPr>
      <t>s</t>
    </r>
    <r>
      <rPr>
        <sz val="8"/>
        <rFont val="Cambria"/>
        <family val="1"/>
        <scheme val="major"/>
      </rPr>
      <t xml:space="preserve"> ,air purifying filters of non-woven type suitable for long life replacement. Refnet piping system to integrate indoor and outdoor units. Standard Accessories – operation manual, installation manual, paper pattern for installation, drain hose, clamp metal, insulation for fittings, sealing pads, dampers, screws, washers etc.Slotted angle iron tray to house refrigeration piping and electrical and control cabling complete with clamps, screws, washers etc. Separate condensate water tray shall be provided for all units with high level alarm. </t>
    </r>
    <r>
      <rPr>
        <b/>
        <sz val="8"/>
        <rFont val="Cambria"/>
        <family val="1"/>
        <scheme val="major"/>
      </rPr>
      <t xml:space="preserve">Units shall be capable of fresh air intake as mentioned in the specifications. 
</t>
    </r>
  </si>
  <si>
    <r>
      <t xml:space="preserve">SITC of following minimum capacity 4-way flow VRV /VRF Cassette type Indoor ceiling mounted unit </t>
    </r>
    <r>
      <rPr>
        <b/>
        <sz val="8"/>
        <rFont val="Cambria"/>
        <family val="1"/>
        <scheme val="major"/>
      </rPr>
      <t>(Heating and cooling)</t>
    </r>
    <r>
      <rPr>
        <sz val="8"/>
        <rFont val="Cambria"/>
        <family val="1"/>
        <scheme val="major"/>
      </rPr>
      <t xml:space="preserve"> equipped with washable synthetic media pre-filter, fan section with low noise fan /dynamically balanced blower, multi-speed motor, coil section with DX copper coil, electronic expansion valve, outer cabinet, drain pump, necessary supports,  cordless remote control, drain pan, necessary accessories etc., suitable for operation on 230 V ± 10 %, 50 Hz, single phase AC supply complete as required. </t>
    </r>
  </si>
  <si>
    <r>
      <t xml:space="preserve">SITC of High efficiency (Minimum SEER-15) DX-Split Hi-wall unit </t>
    </r>
    <r>
      <rPr>
        <b/>
        <sz val="8"/>
        <rFont val="Cambria"/>
        <family val="1"/>
        <scheme val="major"/>
      </rPr>
      <t>(Cooling only)</t>
    </r>
    <r>
      <rPr>
        <sz val="8"/>
        <rFont val="Cambria"/>
        <family val="1"/>
        <scheme val="major"/>
      </rPr>
      <t>, shall be with Standard Accessories – operation manual, installation manual, paper pattern for installation, suction and liquid line with insulation, drain hose, clamp metal, insulation for fittings, sealing pads, screws, washers etc.Slotted angle iron tray to house refrigeration piping and electrical and control cabling complete with clamps, screws, washers etc. suitable for operation on 230 V ± 10 %, 50 Hz, single phase AC supply complete as required. Unit cooling capacity shall be based on ambient temperature of 35 deg C</t>
    </r>
  </si>
  <si>
    <r>
      <t>Fans
S</t>
    </r>
    <r>
      <rPr>
        <sz val="8"/>
        <rFont val="Cambria"/>
        <family val="1"/>
        <scheme val="major"/>
      </rPr>
      <t>uitable for operation on 230 V ± 10 %, 50 Hz, single phase AC supply</t>
    </r>
  </si>
  <si>
    <r>
      <t xml:space="preserve">Supply,installation,testing, commissioning of of high pressure Gas/ Liquid Copper Piping with </t>
    </r>
    <r>
      <rPr>
        <b/>
        <sz val="8"/>
        <rFont val="Cambria"/>
        <family val="1"/>
        <charset val="204"/>
      </rPr>
      <t xml:space="preserve">nitrile rubber class 'O' insulation </t>
    </r>
    <r>
      <rPr>
        <sz val="8"/>
        <rFont val="Cambria"/>
        <family val="1"/>
        <charset val="204"/>
      </rPr>
      <t xml:space="preserve">of suitable thick round </t>
    </r>
    <r>
      <rPr>
        <b/>
        <sz val="8"/>
        <rFont val="Cambria"/>
        <family val="1"/>
        <charset val="204"/>
      </rPr>
      <t xml:space="preserve">closed cell </t>
    </r>
    <r>
      <rPr>
        <sz val="8"/>
        <rFont val="Cambria"/>
        <family val="1"/>
        <charset val="204"/>
      </rPr>
      <t>elastomeric insulation finished with  7mils woven</t>
    </r>
    <r>
      <rPr>
        <b/>
        <sz val="8"/>
        <rFont val="Cambria"/>
        <family val="1"/>
        <charset val="204"/>
      </rPr>
      <t xml:space="preserve"> fiber glass cloth covering</t>
    </r>
    <r>
      <rPr>
        <sz val="8"/>
        <rFont val="Cambria"/>
        <family val="1"/>
        <charset val="204"/>
      </rPr>
      <t xml:space="preserve"> adhered between two coats of fungicidal protective coating and insulation shall have </t>
    </r>
    <r>
      <rPr>
        <b/>
        <sz val="8"/>
        <rFont val="Cambria"/>
        <family val="1"/>
        <charset val="204"/>
      </rPr>
      <t xml:space="preserve">antimicrobial </t>
    </r>
    <r>
      <rPr>
        <sz val="8"/>
        <rFont val="Cambria"/>
        <family val="1"/>
        <charset val="204"/>
      </rPr>
      <t xml:space="preserve">properties,  suction filters for gas line,  filter drier &amp; sight glass for liquid line as per specification for each indoor machines &amp; outdoor units  including chasing, drilling, concealing and making good the same on walls etc  of following specifications as per site conditions and with required pipe fittings and accessories like </t>
    </r>
    <r>
      <rPr>
        <b/>
        <sz val="8"/>
        <rFont val="Cambria"/>
        <family val="1"/>
        <charset val="204"/>
      </rPr>
      <t>Bends, Tees, reducers, supports, clamps, refnets etc</t>
    </r>
    <r>
      <rPr>
        <sz val="8"/>
        <rFont val="Cambria"/>
        <family val="1"/>
        <charset val="204"/>
      </rPr>
      <t xml:space="preserve">.Complete in all respects as per technical specifications.
NOTE: The contractor shall ensure that all refrigerant pipe sizes required as per the design of the equipment shall be considered in the line items underneath, even if the refrigerant pipe size is not mentioned in following line items.Both refrigerant suction and liquid line shall be insulated.   </t>
    </r>
    <r>
      <rPr>
        <sz val="8"/>
        <rFont val="Cambria"/>
        <family val="1"/>
      </rPr>
      <t xml:space="preserve"> External Refrigerant  piping shall be laid on GI covered cable  trays.   Piping   inside   occupied   spaces shall be supported   using GI ladder type cable trays.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</si>
</sst>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 #,##0.00_ ;_ * \-#,##0.00_ ;_ * &quot;-&quot;??_ ;_ @_ "/>
    <numFmt numFmtId="165" formatCode="0.00;[Red]0.00"/>
    <numFmt numFmtId="166" formatCode="_(* #,##0_);_(* \(#,##0\);_(* &quot;-&quot;??_);_(@_)"/>
    <numFmt numFmtId="167" formatCode="0.0"/>
    <numFmt numFmtId="168" formatCode="#,##0;[Red]#,##0"/>
    <numFmt numFmtId="169" formatCode="0.00_);[Red]\(0.00\)"/>
    <numFmt numFmtId="170" formatCode="#,##0_ ;[Red]\-#,##0\ "/>
    <numFmt numFmtId="171" formatCode="#,##0.0"/>
    <numFmt numFmtId="172" formatCode="0_ "/>
    <numFmt numFmtId="173" formatCode="0_);[Red]\(0\)"/>
  </numFmts>
  <fonts count="89">
    <font>
      <sz val="11"/>
      <color theme="1"/>
      <name val="Calibri"/>
      <charset val="134"/>
      <scheme val="minor"/>
    </font>
    <font>
      <sz val="11"/>
      <color theme="1"/>
      <name val="Calibri"/>
      <family val="2"/>
      <scheme val="minor"/>
    </font>
    <font>
      <sz val="11"/>
      <color theme="1"/>
      <name val="Calibri"/>
      <family val="2"/>
      <scheme val="minor"/>
    </font>
    <font>
      <sz val="12"/>
      <color rgb="FFC00000"/>
      <name val="Calibri"/>
      <family val="2"/>
      <charset val="204"/>
      <scheme val="minor"/>
    </font>
    <font>
      <b/>
      <sz val="10"/>
      <color rgb="FF002060"/>
      <name val="Calibri"/>
      <family val="2"/>
      <charset val="204"/>
      <scheme val="minor"/>
    </font>
    <font>
      <b/>
      <sz val="11"/>
      <color rgb="FFC00000"/>
      <name val="Calibri"/>
      <family val="2"/>
      <charset val="204"/>
      <scheme val="minor"/>
    </font>
    <font>
      <sz val="11"/>
      <color rgb="FF002060"/>
      <name val="Calibri"/>
      <family val="2"/>
      <charset val="204"/>
      <scheme val="minor"/>
    </font>
    <font>
      <b/>
      <sz val="11"/>
      <color rgb="FF002060"/>
      <name val="Calibri"/>
      <family val="2"/>
      <charset val="204"/>
      <scheme val="minor"/>
    </font>
    <font>
      <b/>
      <sz val="11"/>
      <color theme="1"/>
      <name val="Calibri"/>
      <family val="2"/>
      <charset val="204"/>
      <scheme val="minor"/>
    </font>
    <font>
      <b/>
      <sz val="11"/>
      <name val="Calibri"/>
      <family val="2"/>
      <charset val="204"/>
      <scheme val="minor"/>
    </font>
    <font>
      <sz val="11"/>
      <name val="Calibri"/>
      <family val="2"/>
      <charset val="204"/>
      <scheme val="minor"/>
    </font>
    <font>
      <b/>
      <sz val="12"/>
      <color rgb="FFC00000"/>
      <name val="Calibri"/>
      <family val="2"/>
      <charset val="204"/>
      <scheme val="minor"/>
    </font>
    <font>
      <b/>
      <sz val="12"/>
      <color rgb="FF002060"/>
      <name val="Calibri"/>
      <family val="2"/>
      <charset val="204"/>
      <scheme val="minor"/>
    </font>
    <font>
      <sz val="11"/>
      <color rgb="FFFF0000"/>
      <name val="Calibri"/>
      <family val="2"/>
      <charset val="204"/>
      <scheme val="minor"/>
    </font>
    <font>
      <b/>
      <sz val="12"/>
      <color rgb="FFFF0000"/>
      <name val="Calibri"/>
      <family val="2"/>
      <charset val="204"/>
    </font>
    <font>
      <b/>
      <sz val="10"/>
      <name val="Arial"/>
      <family val="2"/>
      <charset val="204"/>
    </font>
    <font>
      <sz val="12"/>
      <color theme="1"/>
      <name val="Calibri"/>
      <family val="2"/>
      <charset val="204"/>
      <scheme val="minor"/>
    </font>
    <font>
      <b/>
      <sz val="12"/>
      <color rgb="FFFF0000"/>
      <name val="Calibri"/>
      <family val="2"/>
      <charset val="204"/>
      <scheme val="minor"/>
    </font>
    <font>
      <b/>
      <sz val="11"/>
      <color rgb="FFFF0000"/>
      <name val="Calibri"/>
      <family val="2"/>
      <charset val="204"/>
      <scheme val="minor"/>
    </font>
    <font>
      <sz val="10"/>
      <name val="Calibri"/>
      <family val="2"/>
      <charset val="204"/>
      <scheme val="minor"/>
    </font>
    <font>
      <b/>
      <u/>
      <sz val="11"/>
      <name val="Calibri"/>
      <family val="2"/>
      <charset val="204"/>
      <scheme val="minor"/>
    </font>
    <font>
      <sz val="10"/>
      <color theme="1"/>
      <name val="Verdana"/>
      <family val="2"/>
      <charset val="204"/>
    </font>
    <font>
      <b/>
      <sz val="12"/>
      <color theme="1"/>
      <name val="Verdana"/>
      <family val="2"/>
      <charset val="204"/>
    </font>
    <font>
      <b/>
      <sz val="10"/>
      <color theme="1"/>
      <name val="Verdana"/>
      <family val="2"/>
      <charset val="204"/>
    </font>
    <font>
      <b/>
      <sz val="10"/>
      <name val="Verdana"/>
      <family val="2"/>
      <charset val="204"/>
    </font>
    <font>
      <sz val="10"/>
      <name val="Verdana"/>
      <family val="2"/>
      <charset val="204"/>
    </font>
    <font>
      <b/>
      <sz val="11"/>
      <name val="Verdana"/>
      <family val="2"/>
      <charset val="204"/>
    </font>
    <font>
      <b/>
      <sz val="10"/>
      <color rgb="FFFF0000"/>
      <name val="Verdana"/>
      <family val="2"/>
      <charset val="204"/>
    </font>
    <font>
      <b/>
      <sz val="10"/>
      <color indexed="10"/>
      <name val="Verdana"/>
      <family val="2"/>
      <charset val="204"/>
    </font>
    <font>
      <sz val="10"/>
      <color rgb="FFFF0000"/>
      <name val="Verdana"/>
      <family val="2"/>
      <charset val="204"/>
    </font>
    <font>
      <u/>
      <sz val="11"/>
      <color theme="10"/>
      <name val="Calibri"/>
      <family val="2"/>
      <charset val="204"/>
    </font>
    <font>
      <sz val="10"/>
      <name val="Arial"/>
      <family val="2"/>
      <charset val="204"/>
    </font>
    <font>
      <sz val="10"/>
      <name val="MS Sans Serif"/>
      <charset val="178"/>
    </font>
    <font>
      <sz val="12"/>
      <name val="Times New Roman"/>
      <family val="1"/>
      <charset val="204"/>
    </font>
    <font>
      <sz val="11"/>
      <color indexed="8"/>
      <name val="Calibri"/>
      <family val="2"/>
      <charset val="204"/>
      <scheme val="minor"/>
    </font>
    <font>
      <sz val="11"/>
      <color rgb="FF000000"/>
      <name val="Calibri"/>
      <family val="2"/>
      <charset val="204"/>
    </font>
    <font>
      <sz val="10"/>
      <name val="Arial"/>
      <family val="2"/>
      <charset val="204"/>
    </font>
    <font>
      <sz val="11"/>
      <color indexed="8"/>
      <name val="Calibri"/>
      <family val="2"/>
      <charset val="204"/>
    </font>
    <font>
      <sz val="10"/>
      <color theme="1"/>
      <name val="Arial"/>
      <family val="2"/>
      <charset val="204"/>
    </font>
    <font>
      <sz val="11"/>
      <color theme="1"/>
      <name val="Arial"/>
      <family val="2"/>
      <charset val="204"/>
    </font>
    <font>
      <sz val="10"/>
      <name val="MS Sans Serif"/>
      <charset val="134"/>
    </font>
    <font>
      <sz val="10"/>
      <name val="Times New Roman"/>
      <family val="1"/>
      <charset val="204"/>
    </font>
    <font>
      <sz val="10"/>
      <name val="Helv"/>
      <family val="2"/>
    </font>
    <font>
      <sz val="10"/>
      <name val="Helv"/>
      <family val="2"/>
    </font>
    <font>
      <sz val="11"/>
      <color theme="1"/>
      <name val="Calibri"/>
      <family val="2"/>
      <charset val="204"/>
      <scheme val="minor"/>
    </font>
    <font>
      <sz val="11"/>
      <name val="Calibri"/>
      <family val="2"/>
      <scheme val="minor"/>
    </font>
    <font>
      <b/>
      <sz val="11"/>
      <name val="Calibri"/>
      <family val="2"/>
      <scheme val="minor"/>
    </font>
    <font>
      <sz val="14"/>
      <color theme="1"/>
      <name val="Calibri"/>
      <family val="2"/>
      <scheme val="minor"/>
    </font>
    <font>
      <b/>
      <sz val="14"/>
      <color theme="1"/>
      <name val="Calibri"/>
      <family val="2"/>
      <scheme val="minor"/>
    </font>
    <font>
      <b/>
      <sz val="11"/>
      <name val="Arial"/>
      <family val="2"/>
    </font>
    <font>
      <b/>
      <sz val="12"/>
      <color theme="1"/>
      <name val="Arial"/>
      <family val="2"/>
    </font>
    <font>
      <b/>
      <sz val="11"/>
      <color theme="1"/>
      <name val="Arial"/>
      <family val="2"/>
    </font>
    <font>
      <b/>
      <sz val="10"/>
      <name val="Arial"/>
      <family val="2"/>
    </font>
    <font>
      <b/>
      <sz val="10"/>
      <name val="Calibri"/>
      <family val="2"/>
    </font>
    <font>
      <b/>
      <sz val="11"/>
      <color theme="1"/>
      <name val="Calibri"/>
      <family val="2"/>
      <scheme val="minor"/>
    </font>
    <font>
      <b/>
      <sz val="12"/>
      <name val="Calibri"/>
      <family val="2"/>
      <scheme val="minor"/>
    </font>
    <font>
      <b/>
      <sz val="11"/>
      <color rgb="FFFF0000"/>
      <name val="Calibri"/>
      <family val="2"/>
      <scheme val="minor"/>
    </font>
    <font>
      <b/>
      <sz val="24"/>
      <color theme="1"/>
      <name val="Calibri"/>
      <family val="2"/>
      <scheme val="minor"/>
    </font>
    <font>
      <sz val="11"/>
      <color rgb="FFFF0000"/>
      <name val="Calibri"/>
      <family val="2"/>
      <scheme val="minor"/>
    </font>
    <font>
      <sz val="10"/>
      <name val="Arial"/>
      <family val="2"/>
    </font>
    <font>
      <sz val="9"/>
      <name val="Calibri"/>
      <family val="2"/>
    </font>
    <font>
      <b/>
      <sz val="9"/>
      <name val="Calibri"/>
      <family val="2"/>
    </font>
    <font>
      <b/>
      <sz val="14"/>
      <name val="Calibri"/>
      <family val="2"/>
    </font>
    <font>
      <sz val="9"/>
      <name val="Arial"/>
      <family val="2"/>
    </font>
    <font>
      <sz val="11"/>
      <color theme="1"/>
      <name val="Arial"/>
      <family val="2"/>
    </font>
    <font>
      <b/>
      <sz val="14"/>
      <color theme="1"/>
      <name val="Calibri"/>
      <family val="2"/>
    </font>
    <font>
      <b/>
      <sz val="10"/>
      <color theme="1"/>
      <name val="Arial"/>
      <family val="2"/>
    </font>
    <font>
      <b/>
      <sz val="9"/>
      <color theme="1"/>
      <name val="Arial"/>
      <family val="2"/>
    </font>
    <font>
      <b/>
      <sz val="9"/>
      <name val="Arial"/>
      <family val="2"/>
    </font>
    <font>
      <sz val="9"/>
      <color theme="1"/>
      <name val="Arial"/>
      <family val="2"/>
    </font>
    <font>
      <sz val="12"/>
      <color theme="1"/>
      <name val="Calibri"/>
      <family val="2"/>
      <scheme val="minor"/>
    </font>
    <font>
      <b/>
      <sz val="12"/>
      <color theme="1"/>
      <name val="Calibri"/>
      <family val="2"/>
      <scheme val="minor"/>
    </font>
    <font>
      <b/>
      <sz val="11"/>
      <name val="Times New Roman"/>
      <family val="1"/>
    </font>
    <font>
      <sz val="11"/>
      <name val="Arial"/>
      <family val="2"/>
    </font>
    <font>
      <b/>
      <sz val="8"/>
      <name val="Cambria"/>
      <family val="1"/>
      <scheme val="major"/>
    </font>
    <font>
      <b/>
      <sz val="8"/>
      <color theme="1"/>
      <name val="Cambria"/>
      <family val="2"/>
      <charset val="204"/>
      <scheme val="major"/>
    </font>
    <font>
      <b/>
      <sz val="8"/>
      <color theme="1"/>
      <name val="Cambria"/>
      <family val="1"/>
      <scheme val="major"/>
    </font>
    <font>
      <sz val="8"/>
      <color theme="1"/>
      <name val="Cambria"/>
      <family val="2"/>
      <charset val="204"/>
      <scheme val="major"/>
    </font>
    <font>
      <b/>
      <sz val="8"/>
      <name val="Cambria"/>
      <family val="2"/>
      <charset val="204"/>
      <scheme val="major"/>
    </font>
    <font>
      <sz val="8"/>
      <name val="Cambria"/>
      <family val="1"/>
      <scheme val="major"/>
    </font>
    <font>
      <sz val="8"/>
      <name val="Cambria"/>
      <family val="2"/>
      <charset val="204"/>
      <scheme val="major"/>
    </font>
    <font>
      <sz val="8"/>
      <color theme="1"/>
      <name val="Cambria"/>
      <family val="1"/>
      <scheme val="major"/>
    </font>
    <font>
      <sz val="8"/>
      <color rgb="FF000000"/>
      <name val="Cambria"/>
      <family val="1"/>
      <scheme val="major"/>
    </font>
    <font>
      <sz val="8"/>
      <name val="Cambria"/>
      <family val="1"/>
    </font>
    <font>
      <b/>
      <sz val="8"/>
      <name val="Cambria"/>
      <family val="1"/>
      <charset val="204"/>
    </font>
    <font>
      <sz val="8"/>
      <name val="Cambria"/>
      <family val="1"/>
      <charset val="204"/>
    </font>
    <font>
      <sz val="8"/>
      <color rgb="FF000000"/>
      <name val="Cambria"/>
      <family val="2"/>
      <charset val="204"/>
      <scheme val="major"/>
    </font>
    <font>
      <sz val="8"/>
      <color theme="1"/>
      <name val="Times New Roman"/>
      <family val="1"/>
      <charset val="204"/>
    </font>
    <font>
      <b/>
      <sz val="8"/>
      <name val="Calibri"/>
      <family val="2"/>
      <scheme val="minor"/>
    </font>
  </fonts>
  <fills count="11">
    <fill>
      <patternFill patternType="none"/>
    </fill>
    <fill>
      <patternFill patternType="gray125"/>
    </fill>
    <fill>
      <patternFill patternType="solid">
        <fgColor theme="5" tint="0.79995117038483843"/>
        <bgColor indexed="64"/>
      </patternFill>
    </fill>
    <fill>
      <patternFill patternType="solid">
        <fgColor theme="5" tint="0.39994506668294322"/>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6795556505021"/>
        <bgColor indexed="64"/>
      </patternFill>
    </fill>
    <fill>
      <patternFill patternType="solid">
        <fgColor theme="8" tint="0.79995117038483843"/>
        <bgColor indexed="64"/>
      </patternFill>
    </fill>
    <fill>
      <patternFill patternType="solid">
        <fgColor theme="4" tint="0.59999389629810485"/>
        <bgColor indexed="64"/>
      </patternFill>
    </fill>
    <fill>
      <patternFill patternType="solid">
        <fgColor theme="4" tint="0.39960936307870726"/>
        <bgColor indexed="64"/>
      </patternFill>
    </fill>
  </fills>
  <borders count="8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medium">
        <color auto="1"/>
      </left>
      <right style="thin">
        <color theme="2" tint="-0.24994659260841701"/>
      </right>
      <top style="medium">
        <color auto="1"/>
      </top>
      <bottom style="medium">
        <color auto="1"/>
      </bottom>
      <diagonal/>
    </border>
    <border>
      <left style="thin">
        <color theme="2" tint="-0.24994659260841701"/>
      </left>
      <right style="thin">
        <color theme="2" tint="-0.24994659260841701"/>
      </right>
      <top style="medium">
        <color auto="1"/>
      </top>
      <bottom style="medium">
        <color auto="1"/>
      </bottom>
      <diagonal/>
    </border>
    <border>
      <left style="thin">
        <color theme="2" tint="-0.2499465926084170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theme="2" tint="-0.2499465926084170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bottom/>
      <diagonal/>
    </border>
  </borders>
  <cellStyleXfs count="71">
    <xf numFmtId="0" fontId="0" fillId="0" borderId="0"/>
    <xf numFmtId="43" fontId="44" fillId="0" borderId="0" applyFont="0" applyFill="0" applyBorder="0" applyAlignment="0" applyProtection="0"/>
    <xf numFmtId="44" fontId="44" fillId="0" borderId="0" applyFont="0" applyFill="0" applyBorder="0" applyAlignment="0" applyProtection="0"/>
    <xf numFmtId="0" fontId="30" fillId="0" borderId="0" applyNumberFormat="0" applyFill="0" applyBorder="0" applyAlignment="0" applyProtection="0">
      <alignment vertical="top"/>
      <protection locked="0"/>
    </xf>
    <xf numFmtId="0" fontId="33" fillId="0" borderId="0">
      <alignment vertical="center"/>
    </xf>
    <xf numFmtId="43" fontId="34" fillId="0" borderId="0" applyFont="0" applyFill="0" applyBorder="0" applyAlignment="0" applyProtection="0"/>
    <xf numFmtId="43" fontId="35" fillId="0" borderId="0" applyFont="0" applyFill="0" applyBorder="0" applyAlignment="0" applyProtection="0"/>
    <xf numFmtId="164" fontId="31"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0" fontId="31" fillId="0" borderId="0"/>
    <xf numFmtId="43" fontId="31" fillId="0" borderId="0" applyFont="0" applyFill="0" applyBorder="0" applyAlignment="0" applyProtection="0"/>
    <xf numFmtId="165" fontId="33" fillId="0" borderId="0" applyFont="0" applyFill="0" applyBorder="0" applyAlignment="0" applyProtection="0">
      <alignment vertical="center"/>
    </xf>
    <xf numFmtId="43" fontId="31" fillId="0" borderId="0" applyFont="0" applyFill="0" applyBorder="0" applyAlignment="0" applyProtection="0"/>
    <xf numFmtId="164" fontId="44" fillId="0" borderId="0" applyFont="0" applyFill="0" applyBorder="0" applyAlignment="0" applyProtection="0"/>
    <xf numFmtId="164" fontId="34" fillId="0" borderId="0" applyFont="0" applyFill="0" applyBorder="0" applyAlignment="0" applyProtection="0"/>
    <xf numFmtId="165" fontId="44" fillId="0" borderId="0" applyFont="0" applyFill="0" applyBorder="0" applyAlignment="0" applyProtection="0"/>
    <xf numFmtId="43" fontId="44" fillId="0" borderId="0" applyFont="0" applyFill="0" applyBorder="0" applyAlignment="0" applyProtection="0"/>
    <xf numFmtId="164" fontId="33" fillId="0" borderId="0" applyFont="0" applyFill="0" applyBorder="0" applyAlignment="0" applyProtection="0">
      <alignment vertical="center"/>
    </xf>
    <xf numFmtId="164" fontId="44" fillId="0" borderId="0" applyFont="0" applyFill="0" applyBorder="0" applyAlignment="0" applyProtection="0"/>
    <xf numFmtId="165" fontId="44"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164" fontId="44"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44" fillId="0" borderId="0" applyFont="0" applyFill="0" applyBorder="0" applyAlignment="0" applyProtection="0"/>
    <xf numFmtId="164" fontId="44" fillId="0" borderId="0" applyFont="0" applyFill="0" applyBorder="0" applyAlignment="0" applyProtection="0"/>
    <xf numFmtId="0" fontId="31" fillId="0" borderId="0"/>
    <xf numFmtId="0" fontId="31" fillId="0" borderId="0"/>
    <xf numFmtId="0" fontId="31" fillId="0" borderId="0"/>
    <xf numFmtId="0" fontId="37" fillId="0" borderId="0">
      <alignment vertical="center"/>
    </xf>
    <xf numFmtId="0" fontId="31" fillId="0" borderId="0"/>
    <xf numFmtId="0" fontId="31" fillId="0" borderId="0" applyBorder="0"/>
    <xf numFmtId="0" fontId="38" fillId="0" borderId="0"/>
    <xf numFmtId="0" fontId="44" fillId="0" borderId="0"/>
    <xf numFmtId="0" fontId="37" fillId="0" borderId="0">
      <alignment vertical="center"/>
    </xf>
    <xf numFmtId="0" fontId="37" fillId="0" borderId="0">
      <alignment vertical="center"/>
    </xf>
    <xf numFmtId="0" fontId="39" fillId="0" borderId="0"/>
    <xf numFmtId="0" fontId="44" fillId="0" borderId="0"/>
    <xf numFmtId="0" fontId="33" fillId="0" borderId="0">
      <alignment vertical="center"/>
    </xf>
    <xf numFmtId="0" fontId="33" fillId="0" borderId="0">
      <alignment vertical="center"/>
    </xf>
    <xf numFmtId="0" fontId="31" fillId="0" borderId="0"/>
    <xf numFmtId="0" fontId="40" fillId="0" borderId="0"/>
    <xf numFmtId="0" fontId="35" fillId="0" borderId="0"/>
    <xf numFmtId="0" fontId="31" fillId="0" borderId="0"/>
    <xf numFmtId="0" fontId="41" fillId="0" borderId="0" applyNumberFormat="0" applyFill="0" applyBorder="0" applyProtection="0">
      <alignment vertical="top" wrapText="1"/>
    </xf>
    <xf numFmtId="0" fontId="35" fillId="0" borderId="0"/>
    <xf numFmtId="0" fontId="33" fillId="0" borderId="0"/>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xf numFmtId="0" fontId="38" fillId="0" borderId="0"/>
    <xf numFmtId="0" fontId="31" fillId="0" borderId="0"/>
    <xf numFmtId="0" fontId="32" fillId="0" borderId="0"/>
    <xf numFmtId="9" fontId="31" fillId="0" borderId="0" applyFont="0" applyFill="0" applyBorder="0" applyAlignment="0" applyProtection="0"/>
    <xf numFmtId="9" fontId="35" fillId="0" borderId="0" applyFont="0" applyFill="0" applyBorder="0" applyAlignment="0" applyProtection="0"/>
    <xf numFmtId="0" fontId="36" fillId="0" borderId="0"/>
    <xf numFmtId="0" fontId="42" fillId="0" borderId="0">
      <alignment vertical="center"/>
    </xf>
    <xf numFmtId="0" fontId="36" fillId="0" borderId="0"/>
    <xf numFmtId="0" fontId="43" fillId="0" borderId="0"/>
    <xf numFmtId="0" fontId="36" fillId="0" borderId="0">
      <alignment vertical="center"/>
    </xf>
    <xf numFmtId="0" fontId="2" fillId="0" borderId="0"/>
    <xf numFmtId="0" fontId="59" fillId="0" borderId="0">
      <alignment vertical="center"/>
    </xf>
    <xf numFmtId="0" fontId="64" fillId="0" borderId="0"/>
    <xf numFmtId="0" fontId="2" fillId="0" borderId="0"/>
    <xf numFmtId="0" fontId="1" fillId="0" borderId="0"/>
    <xf numFmtId="0" fontId="1" fillId="0" borderId="0"/>
  </cellStyleXfs>
  <cellXfs count="670">
    <xf numFmtId="0" fontId="0" fillId="0" borderId="0" xfId="0"/>
    <xf numFmtId="0" fontId="0" fillId="0" borderId="0" xfId="0" applyFont="1" applyAlignment="1">
      <alignment vertical="center"/>
    </xf>
    <xf numFmtId="0" fontId="3" fillId="0" borderId="0" xfId="0" applyFont="1" applyAlignment="1">
      <alignment horizontal="right"/>
    </xf>
    <xf numFmtId="0" fontId="0" fillId="0" borderId="0" xfId="0" applyFont="1"/>
    <xf numFmtId="0" fontId="0" fillId="0" borderId="0" xfId="0" applyFont="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5" fillId="0" borderId="4" xfId="0" applyFont="1" applyBorder="1" applyAlignment="1"/>
    <xf numFmtId="0" fontId="6" fillId="0" borderId="0" xfId="0" applyFont="1" applyBorder="1" applyAlignment="1"/>
    <xf numFmtId="0" fontId="7" fillId="0" borderId="4" xfId="0" applyFont="1" applyBorder="1" applyAlignment="1"/>
    <xf numFmtId="0" fontId="6" fillId="0" borderId="6" xfId="0" applyFont="1" applyBorder="1"/>
    <xf numFmtId="0" fontId="6" fillId="0" borderId="7" xfId="0" applyFont="1" applyBorder="1"/>
    <xf numFmtId="0" fontId="0" fillId="0" borderId="7" xfId="0" applyFont="1" applyBorder="1" applyAlignment="1">
      <alignment horizontal="center"/>
    </xf>
    <xf numFmtId="0" fontId="0" fillId="0" borderId="8" xfId="0" applyFont="1" applyBorder="1" applyAlignment="1">
      <alignment horizontal="center"/>
    </xf>
    <xf numFmtId="49" fontId="8" fillId="3" borderId="15" xfId="57"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3" fontId="8" fillId="3" borderId="16" xfId="11" applyNumberFormat="1" applyFont="1" applyFill="1" applyBorder="1" applyAlignment="1">
      <alignment horizontal="center" vertical="center" wrapText="1"/>
    </xf>
    <xf numFmtId="0" fontId="8" fillId="3" borderId="17" xfId="0" applyFont="1" applyFill="1" applyBorder="1" applyAlignment="1">
      <alignment horizontal="center" vertical="center" wrapText="1"/>
    </xf>
    <xf numFmtId="2" fontId="9" fillId="4" borderId="18" xfId="60" applyNumberFormat="1" applyFont="1" applyFill="1" applyBorder="1" applyAlignment="1">
      <alignment horizontal="center" vertical="center" wrapText="1"/>
    </xf>
    <xf numFmtId="0" fontId="9" fillId="4" borderId="19" xfId="49" applyFont="1" applyFill="1" applyBorder="1" applyAlignment="1">
      <alignment vertical="center" wrapText="1"/>
    </xf>
    <xf numFmtId="0" fontId="9" fillId="4" borderId="19" xfId="49" applyFont="1" applyFill="1" applyBorder="1" applyAlignment="1">
      <alignment horizontal="center" vertical="center" wrapText="1"/>
    </xf>
    <xf numFmtId="43" fontId="9" fillId="4" borderId="19" xfId="1" applyFont="1" applyFill="1" applyBorder="1" applyAlignment="1">
      <alignment horizontal="center" vertical="center" wrapText="1"/>
    </xf>
    <xf numFmtId="43" fontId="9" fillId="4" borderId="20" xfId="1" applyFont="1" applyFill="1" applyBorder="1" applyAlignment="1">
      <alignment horizontal="center" vertical="center" wrapText="1"/>
    </xf>
    <xf numFmtId="2" fontId="9" fillId="4" borderId="21" xfId="60" applyNumberFormat="1" applyFont="1" applyFill="1" applyBorder="1" applyAlignment="1">
      <alignment horizontal="center" vertical="center" wrapText="1"/>
    </xf>
    <xf numFmtId="0" fontId="9" fillId="4" borderId="22" xfId="49" applyFont="1" applyFill="1" applyBorder="1" applyAlignment="1">
      <alignment vertical="center" wrapText="1"/>
    </xf>
    <xf numFmtId="0" fontId="9" fillId="4" borderId="22" xfId="49" applyFont="1" applyFill="1" applyBorder="1" applyAlignment="1">
      <alignment horizontal="center" vertical="center" wrapText="1"/>
    </xf>
    <xf numFmtId="43" fontId="9" fillId="4" borderId="22" xfId="1" applyFont="1" applyFill="1" applyBorder="1" applyAlignment="1">
      <alignment horizontal="center" vertical="center" wrapText="1"/>
    </xf>
    <xf numFmtId="166" fontId="9" fillId="4" borderId="23" xfId="1" applyNumberFormat="1" applyFont="1" applyFill="1" applyBorder="1" applyAlignment="1">
      <alignment horizontal="center" vertical="center" wrapText="1"/>
    </xf>
    <xf numFmtId="2" fontId="9" fillId="4" borderId="24" xfId="60" applyNumberFormat="1" applyFont="1" applyFill="1" applyBorder="1" applyAlignment="1">
      <alignment horizontal="center" vertical="center" wrapText="1"/>
    </xf>
    <xf numFmtId="0" fontId="9" fillId="4" borderId="25" xfId="49" applyFont="1" applyFill="1" applyBorder="1" applyAlignment="1">
      <alignment vertical="center" wrapText="1"/>
    </xf>
    <xf numFmtId="0" fontId="10" fillId="4" borderId="25" xfId="49" applyFont="1" applyFill="1" applyBorder="1" applyAlignment="1">
      <alignment horizontal="center" vertical="center" wrapText="1"/>
    </xf>
    <xf numFmtId="43" fontId="10" fillId="4" borderId="25" xfId="1" applyFont="1" applyFill="1" applyBorder="1" applyAlignment="1">
      <alignment horizontal="center" vertical="center" wrapText="1"/>
    </xf>
    <xf numFmtId="166" fontId="10" fillId="4" borderId="26" xfId="1" applyNumberFormat="1" applyFont="1" applyFill="1" applyBorder="1" applyAlignment="1">
      <alignment horizontal="center" vertical="center" wrapText="1"/>
    </xf>
    <xf numFmtId="2" fontId="10" fillId="4" borderId="24" xfId="60" applyNumberFormat="1" applyFont="1" applyFill="1" applyBorder="1" applyAlignment="1">
      <alignment horizontal="center" vertical="center" wrapText="1"/>
    </xf>
    <xf numFmtId="0" fontId="10" fillId="4" borderId="25" xfId="49" applyFont="1" applyFill="1" applyBorder="1" applyAlignment="1">
      <alignment vertical="center" wrapText="1"/>
    </xf>
    <xf numFmtId="166" fontId="10" fillId="4" borderId="25" xfId="1" applyNumberFormat="1" applyFont="1" applyFill="1" applyBorder="1" applyAlignment="1">
      <alignment horizontal="center" vertical="center" wrapText="1"/>
    </xf>
    <xf numFmtId="0" fontId="9" fillId="4" borderId="27" xfId="49" applyFont="1" applyFill="1" applyBorder="1" applyAlignment="1">
      <alignment vertical="center" wrapText="1"/>
    </xf>
    <xf numFmtId="0" fontId="10" fillId="4" borderId="27" xfId="49" applyFont="1" applyFill="1" applyBorder="1" applyAlignment="1">
      <alignment vertical="center" wrapText="1"/>
    </xf>
    <xf numFmtId="0" fontId="9" fillId="4" borderId="27" xfId="49" applyFont="1" applyFill="1" applyBorder="1" applyAlignment="1">
      <alignment vertical="top" wrapText="1"/>
    </xf>
    <xf numFmtId="0" fontId="10" fillId="4" borderId="25" xfId="49" applyFont="1" applyFill="1" applyBorder="1" applyAlignment="1">
      <alignment horizontal="left" vertical="center" wrapText="1"/>
    </xf>
    <xf numFmtId="0" fontId="10" fillId="4" borderId="27" xfId="49" applyFont="1" applyFill="1" applyBorder="1" applyAlignment="1">
      <alignment horizontal="left" vertical="center" wrapText="1"/>
    </xf>
    <xf numFmtId="0" fontId="9" fillId="4" borderId="25" xfId="49" applyFont="1" applyFill="1" applyBorder="1" applyAlignment="1">
      <alignment horizontal="left" vertical="center" wrapText="1"/>
    </xf>
    <xf numFmtId="0" fontId="9" fillId="4" borderId="25" xfId="49" applyFont="1" applyFill="1" applyBorder="1" applyAlignment="1">
      <alignment horizontal="center" vertical="center" wrapText="1"/>
    </xf>
    <xf numFmtId="0" fontId="10" fillId="0" borderId="27" xfId="61" applyFont="1" applyFill="1" applyBorder="1" applyAlignment="1">
      <alignment vertical="top" wrapText="1"/>
    </xf>
    <xf numFmtId="43" fontId="10" fillId="0" borderId="28" xfId="1" applyFont="1" applyFill="1" applyBorder="1" applyAlignment="1">
      <alignment horizontal="center" vertical="top" wrapText="1"/>
    </xf>
    <xf numFmtId="43" fontId="10" fillId="4" borderId="25" xfId="1" applyNumberFormat="1" applyFont="1" applyFill="1" applyBorder="1" applyAlignment="1">
      <alignment horizontal="center" vertical="center" wrapText="1"/>
    </xf>
    <xf numFmtId="43" fontId="10" fillId="4" borderId="26" xfId="1" applyFont="1" applyFill="1" applyBorder="1" applyAlignment="1">
      <alignment horizontal="center" vertical="center" wrapText="1"/>
    </xf>
    <xf numFmtId="167" fontId="11" fillId="3" borderId="29" xfId="0" applyNumberFormat="1" applyFont="1" applyFill="1" applyBorder="1" applyAlignment="1">
      <alignment horizontal="right" vertical="center" wrapText="1"/>
    </xf>
    <xf numFmtId="0" fontId="12" fillId="3" borderId="30" xfId="0" applyFont="1" applyFill="1" applyBorder="1" applyAlignment="1">
      <alignment vertical="center" wrapText="1"/>
    </xf>
    <xf numFmtId="3" fontId="12" fillId="3" borderId="30" xfId="0" applyNumberFormat="1" applyFont="1" applyFill="1" applyBorder="1" applyAlignment="1">
      <alignment horizontal="center"/>
    </xf>
    <xf numFmtId="0" fontId="12" fillId="3" borderId="30" xfId="0" applyFont="1" applyFill="1" applyBorder="1" applyAlignment="1">
      <alignment horizontal="center" vertical="center"/>
    </xf>
    <xf numFmtId="168" fontId="12" fillId="3" borderId="31" xfId="0" applyNumberFormat="1" applyFont="1" applyFill="1" applyBorder="1" applyAlignment="1">
      <alignment horizontal="right" vertical="center"/>
    </xf>
    <xf numFmtId="168" fontId="12" fillId="3" borderId="32" xfId="0" applyNumberFormat="1" applyFont="1" applyFill="1" applyBorder="1" applyAlignment="1">
      <alignment horizontal="center" vertical="center"/>
    </xf>
    <xf numFmtId="43" fontId="10" fillId="0" borderId="24" xfId="1" applyFont="1" applyFill="1" applyBorder="1" applyAlignment="1">
      <alignment horizontal="right" vertical="center" wrapText="1"/>
    </xf>
    <xf numFmtId="43" fontId="10" fillId="0" borderId="25" xfId="1" applyFont="1" applyFill="1" applyBorder="1" applyAlignment="1">
      <alignment horizontal="left" vertical="center" wrapText="1"/>
    </xf>
    <xf numFmtId="43" fontId="10" fillId="0" borderId="25" xfId="1" applyFont="1" applyFill="1" applyBorder="1" applyAlignment="1">
      <alignment horizontal="center" vertical="center" wrapText="1"/>
    </xf>
    <xf numFmtId="43" fontId="10" fillId="0" borderId="26" xfId="1" applyFont="1" applyFill="1" applyBorder="1" applyAlignment="1">
      <alignment horizontal="center" vertical="center" wrapText="1"/>
    </xf>
    <xf numFmtId="43" fontId="10" fillId="0" borderId="24" xfId="1" applyFont="1" applyFill="1" applyBorder="1" applyAlignment="1">
      <alignment vertical="center" wrapText="1"/>
    </xf>
    <xf numFmtId="43" fontId="9" fillId="0" borderId="24" xfId="1" applyFont="1" applyFill="1" applyBorder="1" applyAlignment="1">
      <alignment horizontal="right" vertical="center" wrapText="1"/>
    </xf>
    <xf numFmtId="43" fontId="9" fillId="0" borderId="25" xfId="1" applyFont="1" applyFill="1" applyBorder="1" applyAlignment="1">
      <alignment horizontal="left" vertical="center" wrapText="1"/>
    </xf>
    <xf numFmtId="166" fontId="10" fillId="0" borderId="26" xfId="1" applyNumberFormat="1" applyFont="1" applyFill="1" applyBorder="1" applyAlignment="1">
      <alignment horizontal="center" vertical="center" wrapText="1"/>
    </xf>
    <xf numFmtId="43" fontId="10" fillId="0" borderId="25" xfId="1" applyFont="1" applyFill="1" applyBorder="1" applyAlignment="1">
      <alignment vertical="center" wrapText="1"/>
    </xf>
    <xf numFmtId="0" fontId="9" fillId="0" borderId="25" xfId="1" applyNumberFormat="1" applyFont="1" applyFill="1" applyBorder="1" applyAlignment="1">
      <alignment horizontal="left" vertical="center" wrapText="1"/>
    </xf>
    <xf numFmtId="43" fontId="10" fillId="0" borderId="36" xfId="1" applyFont="1" applyFill="1" applyBorder="1" applyAlignment="1">
      <alignment horizontal="right" vertical="center" wrapText="1"/>
    </xf>
    <xf numFmtId="43" fontId="10" fillId="0" borderId="37" xfId="1" applyFont="1" applyFill="1" applyBorder="1" applyAlignment="1">
      <alignment vertical="center" wrapText="1"/>
    </xf>
    <xf numFmtId="43" fontId="10" fillId="0" borderId="37" xfId="1" applyFont="1" applyFill="1" applyBorder="1" applyAlignment="1">
      <alignment horizontal="center" vertical="center" wrapText="1"/>
    </xf>
    <xf numFmtId="43" fontId="10" fillId="0" borderId="38" xfId="1" applyFont="1" applyFill="1" applyBorder="1" applyAlignment="1">
      <alignment horizontal="center" vertical="center" wrapText="1"/>
    </xf>
    <xf numFmtId="168" fontId="12" fillId="3" borderId="39" xfId="0" applyNumberFormat="1" applyFont="1" applyFill="1" applyBorder="1" applyAlignment="1">
      <alignment horizontal="right" vertical="center"/>
    </xf>
    <xf numFmtId="43" fontId="0" fillId="0" borderId="0" xfId="0" applyNumberFormat="1" applyFont="1"/>
    <xf numFmtId="0" fontId="0" fillId="0" borderId="16" xfId="0" applyBorder="1" applyAlignment="1">
      <alignment horizontal="center"/>
    </xf>
    <xf numFmtId="0" fontId="0" fillId="0" borderId="16" xfId="0" applyBorder="1"/>
    <xf numFmtId="0" fontId="0" fillId="0" borderId="0" xfId="0" applyAlignment="1">
      <alignment horizontal="center" vertical="center"/>
    </xf>
    <xf numFmtId="0" fontId="0" fillId="0" borderId="16" xfId="0" applyNumberFormat="1" applyBorder="1" applyAlignment="1">
      <alignment horizontal="center"/>
    </xf>
    <xf numFmtId="0" fontId="0" fillId="0" borderId="16" xfId="0" applyBorder="1" applyAlignment="1">
      <alignment horizontal="center" vertical="center"/>
    </xf>
    <xf numFmtId="0" fontId="13" fillId="0" borderId="16" xfId="0" applyFont="1" applyBorder="1" applyAlignment="1">
      <alignment horizontal="center"/>
    </xf>
    <xf numFmtId="0" fontId="15" fillId="0" borderId="16" xfId="51" applyFont="1" applyFill="1" applyBorder="1" applyAlignment="1">
      <alignment horizontal="center" vertical="center"/>
    </xf>
    <xf numFmtId="0" fontId="16" fillId="0" borderId="16" xfId="51" applyFont="1" applyFill="1" applyBorder="1" applyAlignment="1">
      <alignment horizontal="center" vertical="center"/>
    </xf>
    <xf numFmtId="0" fontId="0" fillId="0" borderId="16" xfId="51" applyFont="1" applyFill="1" applyBorder="1" applyAlignment="1">
      <alignment horizontal="center" vertical="center"/>
    </xf>
    <xf numFmtId="0" fontId="0" fillId="0" borderId="16" xfId="51" applyFont="1" applyFill="1" applyBorder="1" applyAlignment="1">
      <alignment horizontal="center"/>
    </xf>
    <xf numFmtId="0" fontId="18" fillId="0" borderId="16" xfId="0" applyFont="1" applyBorder="1" applyAlignment="1">
      <alignment horizontal="center"/>
    </xf>
    <xf numFmtId="0" fontId="0" fillId="0" borderId="16" xfId="0" applyBorder="1" applyAlignment="1"/>
    <xf numFmtId="0" fontId="17" fillId="0" borderId="16" xfId="0" applyFont="1" applyBorder="1" applyAlignment="1">
      <alignment horizontal="center"/>
    </xf>
    <xf numFmtId="0" fontId="0" fillId="6" borderId="16" xfId="0" applyFill="1" applyBorder="1" applyAlignment="1">
      <alignment horizontal="center"/>
    </xf>
    <xf numFmtId="0" fontId="0" fillId="4" borderId="0" xfId="0" applyFill="1"/>
    <xf numFmtId="2" fontId="19" fillId="4" borderId="16" xfId="60" applyNumberFormat="1" applyFont="1" applyFill="1" applyBorder="1" applyAlignment="1">
      <alignment horizontal="center" vertical="center" wrapText="1"/>
    </xf>
    <xf numFmtId="2" fontId="19" fillId="7" borderId="16" xfId="60" applyNumberFormat="1" applyFont="1" applyFill="1" applyBorder="1" applyAlignment="1">
      <alignment horizontal="center" vertical="center" wrapText="1"/>
    </xf>
    <xf numFmtId="0" fontId="0" fillId="7" borderId="16" xfId="0" applyFill="1" applyBorder="1"/>
    <xf numFmtId="0" fontId="0" fillId="7" borderId="16" xfId="0" applyFill="1" applyBorder="1" applyAlignment="1">
      <alignment horizontal="center"/>
    </xf>
    <xf numFmtId="0" fontId="0" fillId="7" borderId="16" xfId="0" applyFill="1" applyBorder="1" applyAlignment="1">
      <alignment horizontal="center" wrapText="1"/>
    </xf>
    <xf numFmtId="0" fontId="0" fillId="4" borderId="16" xfId="0" applyFill="1" applyBorder="1" applyAlignment="1">
      <alignment vertical="center"/>
    </xf>
    <xf numFmtId="0" fontId="0" fillId="4" borderId="16" xfId="0" applyFill="1" applyBorder="1" applyAlignment="1">
      <alignment vertical="top" wrapText="1"/>
    </xf>
    <xf numFmtId="0" fontId="0" fillId="4" borderId="16" xfId="0" applyFill="1" applyBorder="1" applyAlignment="1">
      <alignment horizontal="center"/>
    </xf>
    <xf numFmtId="1" fontId="0" fillId="4" borderId="16" xfId="0" applyNumberFormat="1" applyFill="1" applyBorder="1" applyAlignment="1">
      <alignment horizontal="center"/>
    </xf>
    <xf numFmtId="0" fontId="0" fillId="4" borderId="16" xfId="0" applyFill="1" applyBorder="1"/>
    <xf numFmtId="0" fontId="10" fillId="4" borderId="16" xfId="0" applyFont="1" applyFill="1" applyBorder="1" applyAlignment="1">
      <alignment wrapText="1"/>
    </xf>
    <xf numFmtId="0" fontId="8" fillId="6" borderId="16" xfId="0" applyFont="1" applyFill="1" applyBorder="1" applyAlignment="1">
      <alignment horizontal="center"/>
    </xf>
    <xf numFmtId="1" fontId="8" fillId="6" borderId="16" xfId="0" applyNumberFormat="1" applyFont="1" applyFill="1" applyBorder="1" applyAlignment="1">
      <alignment horizontal="center"/>
    </xf>
    <xf numFmtId="0" fontId="10" fillId="4" borderId="16" xfId="0" applyFont="1" applyFill="1" applyBorder="1" applyAlignment="1">
      <alignment horizontal="center"/>
    </xf>
    <xf numFmtId="0" fontId="8" fillId="4" borderId="16" xfId="0" applyFont="1" applyFill="1" applyBorder="1"/>
    <xf numFmtId="0" fontId="8" fillId="4" borderId="16" xfId="0" applyFont="1" applyFill="1" applyBorder="1" applyAlignment="1">
      <alignment horizontal="center"/>
    </xf>
    <xf numFmtId="1" fontId="8" fillId="4" borderId="16" xfId="0" applyNumberFormat="1" applyFont="1" applyFill="1" applyBorder="1" applyAlignment="1">
      <alignment horizontal="center"/>
    </xf>
    <xf numFmtId="0" fontId="0" fillId="6" borderId="16" xfId="0" applyFill="1" applyBorder="1"/>
    <xf numFmtId="1" fontId="0" fillId="6" borderId="16" xfId="0" applyNumberFormat="1" applyFill="1" applyBorder="1" applyAlignment="1">
      <alignment horizontal="center"/>
    </xf>
    <xf numFmtId="0" fontId="0" fillId="7" borderId="16" xfId="0" applyFill="1" applyBorder="1" applyAlignment="1">
      <alignment horizontal="left" vertical="center"/>
    </xf>
    <xf numFmtId="2" fontId="10" fillId="4" borderId="16" xfId="60" applyNumberFormat="1" applyFont="1" applyFill="1" applyBorder="1" applyAlignment="1">
      <alignment horizontal="center" vertical="center" wrapText="1"/>
    </xf>
    <xf numFmtId="0" fontId="10" fillId="4" borderId="16" xfId="49" applyFont="1" applyFill="1" applyBorder="1" applyAlignment="1">
      <alignment horizontal="center" vertical="center" wrapText="1"/>
    </xf>
    <xf numFmtId="166" fontId="10" fillId="4" borderId="16" xfId="1" applyNumberFormat="1" applyFont="1" applyFill="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center"/>
    </xf>
    <xf numFmtId="2" fontId="21" fillId="0" borderId="0" xfId="0" applyNumberFormat="1" applyFont="1" applyAlignment="1">
      <alignment horizontal="center"/>
    </xf>
    <xf numFmtId="167" fontId="21" fillId="0" borderId="0" xfId="0" applyNumberFormat="1" applyFont="1" applyAlignment="1">
      <alignment horizontal="center"/>
    </xf>
    <xf numFmtId="0" fontId="22" fillId="0" borderId="0" xfId="0" applyFont="1" applyAlignment="1">
      <alignment horizontal="center"/>
    </xf>
    <xf numFmtId="0" fontId="27" fillId="9" borderId="47" xfId="0" applyFont="1" applyFill="1" applyBorder="1" applyAlignment="1">
      <alignment vertical="center"/>
    </xf>
    <xf numFmtId="0" fontId="27" fillId="9" borderId="48" xfId="0" applyFont="1" applyFill="1" applyBorder="1" applyAlignment="1"/>
    <xf numFmtId="2" fontId="27" fillId="9" borderId="25" xfId="0" applyNumberFormat="1" applyFont="1" applyFill="1" applyBorder="1" applyAlignment="1" applyProtection="1">
      <alignment horizontal="center" vertical="center"/>
      <protection hidden="1"/>
    </xf>
    <xf numFmtId="0" fontId="21" fillId="6" borderId="25" xfId="0" applyFont="1" applyFill="1" applyBorder="1" applyAlignment="1">
      <alignment horizontal="center"/>
    </xf>
    <xf numFmtId="0" fontId="23" fillId="6" borderId="25" xfId="0" applyFont="1" applyFill="1" applyBorder="1" applyAlignment="1">
      <alignment horizontal="center" vertical="center"/>
    </xf>
    <xf numFmtId="0" fontId="21" fillId="6" borderId="25" xfId="0" applyFont="1" applyFill="1" applyBorder="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xf>
    <xf numFmtId="167" fontId="24" fillId="8" borderId="16" xfId="0" applyNumberFormat="1" applyFont="1" applyFill="1" applyBorder="1" applyAlignment="1" applyProtection="1">
      <alignment horizontal="center" vertical="center" wrapText="1"/>
    </xf>
    <xf numFmtId="167" fontId="24" fillId="8" borderId="16" xfId="0" applyNumberFormat="1" applyFont="1" applyFill="1" applyBorder="1" applyAlignment="1" applyProtection="1">
      <alignment horizontal="center" vertical="center"/>
    </xf>
    <xf numFmtId="0" fontId="28" fillId="8" borderId="16" xfId="0" applyFont="1" applyFill="1" applyBorder="1" applyAlignment="1" applyProtection="1">
      <alignment horizontal="center" vertical="center"/>
    </xf>
    <xf numFmtId="167" fontId="24" fillId="8" borderId="16" xfId="0" applyNumberFormat="1" applyFont="1" applyFill="1" applyBorder="1" applyAlignment="1" applyProtection="1">
      <alignment horizontal="center" vertical="center"/>
      <protection locked="0"/>
    </xf>
    <xf numFmtId="1" fontId="24" fillId="8" borderId="16" xfId="0" applyNumberFormat="1" applyFont="1" applyFill="1" applyBorder="1" applyAlignment="1" applyProtection="1">
      <alignment horizontal="center" vertical="center"/>
      <protection locked="0"/>
    </xf>
    <xf numFmtId="167" fontId="23" fillId="0" borderId="16" xfId="0" applyNumberFormat="1" applyFont="1" applyBorder="1" applyAlignment="1">
      <alignment horizontal="center"/>
    </xf>
    <xf numFmtId="0" fontId="27" fillId="9" borderId="49" xfId="0" applyFont="1" applyFill="1" applyBorder="1" applyAlignment="1"/>
    <xf numFmtId="167" fontId="24" fillId="9" borderId="25" xfId="0" applyNumberFormat="1" applyFont="1" applyFill="1" applyBorder="1" applyAlignment="1" applyProtection="1">
      <alignment horizontal="center" vertical="center"/>
      <protection locked="0"/>
    </xf>
    <xf numFmtId="0" fontId="29" fillId="6" borderId="25" xfId="0" applyFont="1" applyFill="1" applyBorder="1" applyAlignment="1">
      <alignment horizontal="center"/>
    </xf>
    <xf numFmtId="2" fontId="21" fillId="6" borderId="25" xfId="0" applyNumberFormat="1" applyFont="1" applyFill="1" applyBorder="1" applyAlignment="1" applyProtection="1">
      <alignment horizontal="center" vertical="center"/>
      <protection hidden="1"/>
    </xf>
    <xf numFmtId="167" fontId="21" fillId="6" borderId="25" xfId="0" applyNumberFormat="1" applyFont="1" applyFill="1" applyBorder="1" applyAlignment="1" applyProtection="1">
      <alignment horizontal="center" vertical="center"/>
      <protection hidden="1"/>
    </xf>
    <xf numFmtId="167" fontId="24" fillId="6" borderId="25" xfId="0" applyNumberFormat="1" applyFont="1" applyFill="1" applyBorder="1" applyAlignment="1" applyProtection="1">
      <alignment horizontal="center" vertical="center"/>
      <protection locked="0"/>
    </xf>
    <xf numFmtId="0" fontId="29" fillId="0" borderId="25" xfId="0" applyFont="1" applyBorder="1" applyAlignment="1">
      <alignment horizontal="center"/>
    </xf>
    <xf numFmtId="2" fontId="21" fillId="0" borderId="25" xfId="0" applyNumberFormat="1" applyFont="1" applyBorder="1" applyAlignment="1" applyProtection="1">
      <alignment horizontal="center" vertical="center"/>
      <protection hidden="1"/>
    </xf>
    <xf numFmtId="167" fontId="21" fillId="0" borderId="25" xfId="0" applyNumberFormat="1" applyFont="1" applyBorder="1" applyAlignment="1" applyProtection="1">
      <alignment horizontal="center" vertical="center"/>
      <protection hidden="1"/>
    </xf>
    <xf numFmtId="167" fontId="24" fillId="0" borderId="25" xfId="0" applyNumberFormat="1" applyFont="1" applyBorder="1" applyAlignment="1" applyProtection="1">
      <alignment horizontal="center" vertical="center"/>
      <protection locked="0"/>
    </xf>
    <xf numFmtId="0" fontId="0" fillId="0" borderId="25" xfId="0" applyBorder="1" applyAlignment="1">
      <alignment horizontal="center"/>
    </xf>
    <xf numFmtId="0" fontId="21" fillId="9" borderId="25" xfId="0" applyFont="1" applyFill="1" applyBorder="1" applyAlignment="1">
      <alignment horizontal="center"/>
    </xf>
    <xf numFmtId="0" fontId="21" fillId="0" borderId="1" xfId="0" applyFont="1" applyBorder="1" applyAlignment="1">
      <alignment horizontal="center"/>
    </xf>
    <xf numFmtId="0" fontId="21" fillId="0" borderId="2" xfId="0" applyFont="1" applyBorder="1" applyAlignment="1">
      <alignment horizontal="center"/>
    </xf>
    <xf numFmtId="0" fontId="21" fillId="0" borderId="4" xfId="0" applyFont="1" applyBorder="1" applyAlignment="1">
      <alignment horizontal="center"/>
    </xf>
    <xf numFmtId="0" fontId="21" fillId="0" borderId="0"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2" fontId="21" fillId="0" borderId="16" xfId="0" applyNumberFormat="1" applyFont="1" applyBorder="1" applyAlignment="1">
      <alignment horizontal="center"/>
    </xf>
    <xf numFmtId="2" fontId="21" fillId="0" borderId="16" xfId="0" applyNumberFormat="1" applyFont="1" applyBorder="1" applyAlignment="1">
      <alignment horizontal="center" wrapText="1"/>
    </xf>
    <xf numFmtId="0" fontId="21" fillId="0" borderId="16" xfId="0" applyFont="1" applyBorder="1" applyAlignment="1">
      <alignment horizontal="center" wrapText="1"/>
    </xf>
    <xf numFmtId="0" fontId="21" fillId="0" borderId="50" xfId="0" applyFont="1" applyBorder="1" applyAlignment="1">
      <alignment horizontal="center"/>
    </xf>
    <xf numFmtId="0" fontId="21" fillId="0" borderId="51" xfId="0" applyFont="1" applyBorder="1" applyAlignment="1">
      <alignment horizontal="center"/>
    </xf>
    <xf numFmtId="0" fontId="21" fillId="0" borderId="51" xfId="0" applyFont="1" applyBorder="1" applyAlignment="1">
      <alignment horizontal="center" wrapText="1"/>
    </xf>
    <xf numFmtId="0" fontId="29" fillId="0" borderId="25" xfId="0" applyFont="1" applyBorder="1" applyAlignment="1">
      <alignment horizontal="center" vertical="center"/>
    </xf>
    <xf numFmtId="0" fontId="29" fillId="9" borderId="25" xfId="0" applyFont="1" applyFill="1" applyBorder="1" applyAlignment="1">
      <alignment horizontal="center"/>
    </xf>
    <xf numFmtId="2" fontId="21" fillId="9" borderId="25" xfId="0" applyNumberFormat="1" applyFont="1" applyFill="1" applyBorder="1" applyAlignment="1" applyProtection="1">
      <alignment horizontal="center" vertical="center"/>
      <protection hidden="1"/>
    </xf>
    <xf numFmtId="167" fontId="21" fillId="9" borderId="25" xfId="0" applyNumberFormat="1" applyFont="1" applyFill="1" applyBorder="1" applyAlignment="1" applyProtection="1">
      <alignment horizontal="center" vertical="center"/>
      <protection hidden="1"/>
    </xf>
    <xf numFmtId="0" fontId="21" fillId="0" borderId="3" xfId="0" applyFont="1" applyBorder="1" applyAlignment="1">
      <alignment horizontal="center"/>
    </xf>
    <xf numFmtId="0" fontId="21" fillId="0" borderId="5" xfId="0" applyFont="1" applyBorder="1" applyAlignment="1">
      <alignment horizontal="center"/>
    </xf>
    <xf numFmtId="166" fontId="21" fillId="0" borderId="5" xfId="1" applyNumberFormat="1" applyFont="1" applyBorder="1" applyAlignment="1">
      <alignment horizontal="center"/>
    </xf>
    <xf numFmtId="166" fontId="21" fillId="0" borderId="11" xfId="1" applyNumberFormat="1" applyFont="1" applyBorder="1" applyAlignment="1">
      <alignment horizontal="center"/>
    </xf>
    <xf numFmtId="0" fontId="10" fillId="0" borderId="16" xfId="0" applyFont="1" applyFill="1" applyBorder="1" applyAlignment="1">
      <alignment vertical="center"/>
    </xf>
    <xf numFmtId="0" fontId="10" fillId="0" borderId="16" xfId="0" applyNumberFormat="1" applyFont="1" applyFill="1" applyBorder="1" applyAlignment="1">
      <alignment vertical="center" wrapText="1"/>
    </xf>
    <xf numFmtId="43" fontId="0" fillId="0" borderId="16" xfId="1" applyFont="1" applyBorder="1" applyAlignment="1">
      <alignment horizontal="center" vertical="center"/>
    </xf>
    <xf numFmtId="0" fontId="0" fillId="0" borderId="16" xfId="0" applyBorder="1" applyAlignment="1">
      <alignment horizontal="left" wrapText="1"/>
    </xf>
    <xf numFmtId="0" fontId="0" fillId="0" borderId="0" xfId="0" applyAlignment="1">
      <alignment wrapText="1"/>
    </xf>
    <xf numFmtId="43" fontId="0" fillId="0" borderId="16" xfId="1" applyFont="1" applyFill="1" applyBorder="1" applyAlignment="1">
      <alignment horizontal="center"/>
    </xf>
    <xf numFmtId="0" fontId="30" fillId="0" borderId="16" xfId="3" applyFill="1" applyBorder="1" applyAlignment="1" applyProtection="1">
      <alignment horizontal="center"/>
    </xf>
    <xf numFmtId="0" fontId="0" fillId="0" borderId="16" xfId="0" applyFill="1" applyBorder="1" applyAlignment="1">
      <alignment horizontal="center"/>
    </xf>
    <xf numFmtId="43" fontId="0" fillId="0" borderId="16" xfId="1" applyFont="1" applyBorder="1" applyAlignment="1">
      <alignment vertical="center"/>
    </xf>
    <xf numFmtId="164" fontId="0" fillId="0" borderId="16" xfId="0" applyNumberFormat="1" applyBorder="1" applyAlignment="1">
      <alignment vertical="center"/>
    </xf>
    <xf numFmtId="164" fontId="0" fillId="0" borderId="16" xfId="0" applyNumberFormat="1" applyBorder="1"/>
    <xf numFmtId="43" fontId="0" fillId="0" borderId="16" xfId="1" applyFont="1" applyBorder="1"/>
    <xf numFmtId="43" fontId="0" fillId="0" borderId="0" xfId="1" applyFont="1"/>
    <xf numFmtId="164" fontId="0" fillId="0" borderId="0" xfId="0" applyNumberFormat="1"/>
    <xf numFmtId="167" fontId="21" fillId="0" borderId="25" xfId="0" quotePrefix="1" applyNumberFormat="1" applyFont="1" applyBorder="1" applyAlignment="1" applyProtection="1">
      <alignment horizontal="center" vertical="center"/>
      <protection hidden="1"/>
    </xf>
    <xf numFmtId="167" fontId="21" fillId="6" borderId="25" xfId="0" quotePrefix="1" applyNumberFormat="1" applyFont="1" applyFill="1" applyBorder="1" applyAlignment="1" applyProtection="1">
      <alignment horizontal="center" vertical="center"/>
      <protection hidden="1"/>
    </xf>
    <xf numFmtId="0" fontId="10" fillId="4" borderId="16" xfId="49" quotePrefix="1" applyFont="1" applyFill="1" applyBorder="1" applyAlignment="1">
      <alignment vertical="center" wrapText="1"/>
    </xf>
    <xf numFmtId="0" fontId="60" fillId="0" borderId="0" xfId="66" applyFont="1" applyAlignment="1">
      <alignment horizontal="center" vertical="center"/>
    </xf>
    <xf numFmtId="0" fontId="60" fillId="0" borderId="0" xfId="66" applyFont="1">
      <alignment vertical="center"/>
    </xf>
    <xf numFmtId="0" fontId="59" fillId="0" borderId="0" xfId="66">
      <alignment vertical="center"/>
    </xf>
    <xf numFmtId="0" fontId="61" fillId="0" borderId="16" xfId="66" applyFont="1" applyBorder="1" applyAlignment="1">
      <alignment vertical="center" wrapText="1"/>
    </xf>
    <xf numFmtId="171" fontId="61" fillId="0" borderId="16" xfId="66" applyNumberFormat="1" applyFont="1" applyBorder="1" applyAlignment="1">
      <alignment vertical="center" wrapText="1"/>
    </xf>
    <xf numFmtId="0" fontId="60" fillId="0" borderId="16" xfId="66" applyFont="1" applyBorder="1" applyAlignment="1">
      <alignment horizontal="center" vertical="center"/>
    </xf>
    <xf numFmtId="172" fontId="60" fillId="0" borderId="16" xfId="66" applyNumberFormat="1" applyFont="1" applyBorder="1" applyAlignment="1">
      <alignment horizontal="center" vertical="center"/>
    </xf>
    <xf numFmtId="1" fontId="60" fillId="0" borderId="16" xfId="66" applyNumberFormat="1" applyFont="1" applyBorder="1" applyAlignment="1">
      <alignment horizontal="center" vertical="center"/>
    </xf>
    <xf numFmtId="4" fontId="60" fillId="0" borderId="16" xfId="66" applyNumberFormat="1" applyFont="1" applyBorder="1" applyAlignment="1">
      <alignment horizontal="center" vertical="center"/>
    </xf>
    <xf numFmtId="0" fontId="63" fillId="0" borderId="16" xfId="66" applyFont="1" applyBorder="1" applyAlignment="1">
      <alignment horizontal="center" vertical="center"/>
    </xf>
    <xf numFmtId="0" fontId="59" fillId="0" borderId="0" xfId="66" applyAlignment="1">
      <alignment horizontal="center" vertical="center"/>
    </xf>
    <xf numFmtId="0" fontId="64" fillId="0" borderId="0" xfId="67"/>
    <xf numFmtId="0" fontId="68" fillId="0" borderId="44" xfId="66" applyFont="1" applyBorder="1" applyAlignment="1">
      <alignment horizontal="center" vertical="center" wrapText="1"/>
    </xf>
    <xf numFmtId="0" fontId="68" fillId="0" borderId="16" xfId="66" applyFont="1" applyBorder="1" applyAlignment="1">
      <alignment horizontal="center" vertical="center" wrapText="1"/>
    </xf>
    <xf numFmtId="0" fontId="63" fillId="0" borderId="16" xfId="66" applyFont="1" applyBorder="1" applyAlignment="1">
      <alignment horizontal="center" vertical="center" wrapText="1"/>
    </xf>
    <xf numFmtId="0" fontId="68" fillId="0" borderId="76" xfId="66" applyFont="1" applyBorder="1" applyAlignment="1">
      <alignment horizontal="center" vertical="center" wrapText="1"/>
    </xf>
    <xf numFmtId="0" fontId="61" fillId="0" borderId="16" xfId="66" applyFont="1" applyBorder="1" applyAlignment="1">
      <alignment horizontal="center" vertical="center"/>
    </xf>
    <xf numFmtId="3" fontId="61" fillId="0" borderId="16" xfId="66" applyNumberFormat="1" applyFont="1" applyBorder="1" applyAlignment="1">
      <alignment horizontal="center" vertical="center"/>
    </xf>
    <xf numFmtId="0" fontId="61" fillId="0" borderId="16" xfId="66" applyFont="1" applyBorder="1" applyAlignment="1">
      <alignment horizontal="center" vertical="center" wrapText="1"/>
    </xf>
    <xf numFmtId="0" fontId="1" fillId="0" borderId="0" xfId="69"/>
    <xf numFmtId="0" fontId="47" fillId="10" borderId="16" xfId="69" applyFont="1" applyFill="1" applyBorder="1" applyAlignment="1">
      <alignment vertical="center"/>
    </xf>
    <xf numFmtId="0" fontId="47" fillId="10" borderId="0" xfId="69" applyFont="1" applyFill="1" applyAlignment="1">
      <alignment vertical="center" wrapText="1"/>
    </xf>
    <xf numFmtId="0" fontId="1" fillId="4" borderId="0" xfId="69" applyFill="1"/>
    <xf numFmtId="1" fontId="1" fillId="4" borderId="0" xfId="69" applyNumberFormat="1" applyFill="1"/>
    <xf numFmtId="167" fontId="1" fillId="4" borderId="0" xfId="69" applyNumberFormat="1" applyFill="1" applyAlignment="1">
      <alignment wrapText="1"/>
    </xf>
    <xf numFmtId="1" fontId="45" fillId="4" borderId="0" xfId="69" applyNumberFormat="1" applyFont="1" applyFill="1"/>
    <xf numFmtId="167" fontId="1" fillId="0" borderId="0" xfId="69" applyNumberFormat="1"/>
    <xf numFmtId="0" fontId="47" fillId="10" borderId="42" xfId="69" applyFont="1" applyFill="1" applyBorder="1" applyAlignment="1">
      <alignment vertical="center"/>
    </xf>
    <xf numFmtId="0" fontId="47" fillId="10" borderId="0" xfId="69" applyFont="1" applyFill="1" applyAlignment="1">
      <alignment wrapText="1"/>
    </xf>
    <xf numFmtId="167" fontId="51" fillId="0" borderId="61" xfId="69" applyNumberFormat="1" applyFont="1" applyBorder="1" applyAlignment="1">
      <alignment horizontal="center" vertical="center"/>
    </xf>
    <xf numFmtId="0" fontId="49" fillId="4" borderId="63" xfId="69" applyFont="1" applyFill="1" applyBorder="1" applyAlignment="1">
      <alignment horizontal="center" vertical="center" wrapText="1"/>
    </xf>
    <xf numFmtId="0" fontId="49" fillId="4" borderId="32" xfId="69" applyFont="1" applyFill="1" applyBorder="1" applyAlignment="1">
      <alignment horizontal="center" vertical="center" wrapText="1"/>
    </xf>
    <xf numFmtId="0" fontId="49" fillId="4" borderId="65" xfId="69" applyFont="1" applyFill="1" applyBorder="1" applyAlignment="1">
      <alignment horizontal="center" vertical="center" wrapText="1"/>
    </xf>
    <xf numFmtId="0" fontId="52" fillId="4" borderId="65" xfId="69" applyFont="1" applyFill="1" applyBorder="1" applyAlignment="1">
      <alignment horizontal="center" vertical="center" wrapText="1"/>
    </xf>
    <xf numFmtId="0" fontId="52" fillId="4" borderId="32" xfId="69" applyFont="1" applyFill="1" applyBorder="1" applyAlignment="1">
      <alignment horizontal="center" vertical="center" wrapText="1"/>
    </xf>
    <xf numFmtId="0" fontId="53" fillId="4" borderId="32" xfId="69" applyFont="1" applyFill="1" applyBorder="1" applyAlignment="1">
      <alignment horizontal="center" vertical="center" wrapText="1"/>
    </xf>
    <xf numFmtId="167" fontId="51" fillId="4" borderId="32" xfId="69" applyNumberFormat="1" applyFont="1" applyFill="1" applyBorder="1" applyAlignment="1">
      <alignment horizontal="center" vertical="center" wrapText="1"/>
    </xf>
    <xf numFmtId="1" fontId="49" fillId="4" borderId="32" xfId="69" applyNumberFormat="1" applyFont="1" applyFill="1" applyBorder="1" applyAlignment="1">
      <alignment horizontal="center" vertical="center" wrapText="1"/>
    </xf>
    <xf numFmtId="167" fontId="54" fillId="0" borderId="0" xfId="69" applyNumberFormat="1" applyFont="1" applyAlignment="1">
      <alignment vertical="center"/>
    </xf>
    <xf numFmtId="1" fontId="46" fillId="0" borderId="44" xfId="69" applyNumberFormat="1" applyFont="1" applyBorder="1" applyAlignment="1">
      <alignment horizontal="center" vertical="center"/>
    </xf>
    <xf numFmtId="0" fontId="54" fillId="0" borderId="44" xfId="69" applyFont="1" applyBorder="1" applyAlignment="1">
      <alignment horizontal="center" vertical="center"/>
    </xf>
    <xf numFmtId="0" fontId="55" fillId="0" borderId="44" xfId="69" applyFont="1" applyBorder="1" applyAlignment="1">
      <alignment horizontal="center" vertical="center" wrapText="1"/>
    </xf>
    <xf numFmtId="1" fontId="54" fillId="4" borderId="44" xfId="69" applyNumberFormat="1" applyFont="1" applyFill="1" applyBorder="1" applyAlignment="1">
      <alignment horizontal="center" vertical="center"/>
    </xf>
    <xf numFmtId="0" fontId="54" fillId="4" borderId="44" xfId="69" applyFont="1" applyFill="1" applyBorder="1" applyAlignment="1">
      <alignment horizontal="center" vertical="center"/>
    </xf>
    <xf numFmtId="0" fontId="1" fillId="4" borderId="44" xfId="69" applyFill="1" applyBorder="1" applyAlignment="1">
      <alignment horizontal="center" vertical="center"/>
    </xf>
    <xf numFmtId="167" fontId="1" fillId="4" borderId="44" xfId="69" applyNumberFormat="1" applyFill="1" applyBorder="1" applyAlignment="1">
      <alignment horizontal="center" vertical="center" wrapText="1"/>
    </xf>
    <xf numFmtId="1" fontId="45" fillId="4" borderId="44" xfId="69" applyNumberFormat="1" applyFont="1" applyFill="1" applyBorder="1" applyAlignment="1">
      <alignment horizontal="center" vertical="center"/>
    </xf>
    <xf numFmtId="1" fontId="1" fillId="4" borderId="44" xfId="69" applyNumberFormat="1" applyFill="1" applyBorder="1" applyAlignment="1">
      <alignment horizontal="center" vertical="center"/>
    </xf>
    <xf numFmtId="167" fontId="51" fillId="0" borderId="16" xfId="69" applyNumberFormat="1" applyFont="1" applyBorder="1" applyAlignment="1">
      <alignment horizontal="center" vertical="center"/>
    </xf>
    <xf numFmtId="0" fontId="1" fillId="0" borderId="16" xfId="69" applyBorder="1" applyAlignment="1">
      <alignment horizontal="center" vertical="center"/>
    </xf>
    <xf numFmtId="0" fontId="54" fillId="0" borderId="16" xfId="69" applyFont="1" applyBorder="1" applyAlignment="1">
      <alignment horizontal="center" vertical="center" wrapText="1"/>
    </xf>
    <xf numFmtId="0" fontId="71" fillId="0" borderId="16" xfId="69" applyFont="1" applyBorder="1" applyAlignment="1">
      <alignment horizontal="center" vertical="center" wrapText="1"/>
    </xf>
    <xf numFmtId="0" fontId="54" fillId="4" borderId="16" xfId="69" applyFont="1" applyFill="1" applyBorder="1" applyAlignment="1">
      <alignment horizontal="center" vertical="center"/>
    </xf>
    <xf numFmtId="0" fontId="1" fillId="4" borderId="16" xfId="69" applyFill="1" applyBorder="1" applyAlignment="1">
      <alignment horizontal="center" vertical="center"/>
    </xf>
    <xf numFmtId="1" fontId="54" fillId="4" borderId="16" xfId="69" applyNumberFormat="1" applyFont="1" applyFill="1" applyBorder="1" applyAlignment="1">
      <alignment horizontal="center" vertical="center"/>
    </xf>
    <xf numFmtId="0" fontId="1" fillId="4" borderId="16" xfId="69" applyFill="1" applyBorder="1" applyAlignment="1">
      <alignment vertical="center"/>
    </xf>
    <xf numFmtId="1" fontId="45" fillId="4" borderId="16" xfId="69" applyNumberFormat="1" applyFont="1" applyFill="1" applyBorder="1" applyAlignment="1">
      <alignment horizontal="center" vertical="center"/>
    </xf>
    <xf numFmtId="1" fontId="1" fillId="4" borderId="16" xfId="69" applyNumberFormat="1" applyFill="1" applyBorder="1" applyAlignment="1">
      <alignment horizontal="center" vertical="center"/>
    </xf>
    <xf numFmtId="167" fontId="54" fillId="0" borderId="0" xfId="69" applyNumberFormat="1" applyFont="1" applyAlignment="1">
      <alignment horizontal="center" vertical="center"/>
    </xf>
    <xf numFmtId="0" fontId="1" fillId="0" borderId="0" xfId="69" applyAlignment="1">
      <alignment wrapText="1"/>
    </xf>
    <xf numFmtId="1" fontId="54" fillId="4" borderId="0" xfId="69" applyNumberFormat="1" applyFont="1" applyFill="1" applyAlignment="1">
      <alignment horizontal="center" vertical="center"/>
    </xf>
    <xf numFmtId="0" fontId="54" fillId="0" borderId="0" xfId="69" applyFont="1" applyAlignment="1">
      <alignment horizontal="center"/>
    </xf>
    <xf numFmtId="167" fontId="54" fillId="0" borderId="0" xfId="69" applyNumberFormat="1" applyFont="1" applyAlignment="1">
      <alignment horizontal="center"/>
    </xf>
    <xf numFmtId="167" fontId="1" fillId="0" borderId="0" xfId="69" applyNumberFormat="1" applyAlignment="1">
      <alignment horizontal="center"/>
    </xf>
    <xf numFmtId="1" fontId="54" fillId="4" borderId="0" xfId="69" applyNumberFormat="1" applyFont="1" applyFill="1" applyAlignment="1">
      <alignment horizontal="left" vertical="center"/>
    </xf>
    <xf numFmtId="0" fontId="1" fillId="0" borderId="0" xfId="69" applyAlignment="1">
      <alignment vertical="center" wrapText="1"/>
    </xf>
    <xf numFmtId="1" fontId="54" fillId="4" borderId="0" xfId="69" applyNumberFormat="1" applyFont="1" applyFill="1" applyAlignment="1">
      <alignment horizontal="left" vertical="center" wrapText="1"/>
    </xf>
    <xf numFmtId="167" fontId="56" fillId="0" borderId="0" xfId="69" applyNumberFormat="1" applyFont="1" applyAlignment="1">
      <alignment horizontal="center"/>
    </xf>
    <xf numFmtId="1" fontId="54" fillId="4" borderId="0" xfId="69" applyNumberFormat="1" applyFont="1" applyFill="1" applyAlignment="1">
      <alignment vertical="center"/>
    </xf>
    <xf numFmtId="0" fontId="56" fillId="0" borderId="0" xfId="69" applyFont="1" applyAlignment="1">
      <alignment horizontal="center"/>
    </xf>
    <xf numFmtId="0" fontId="47" fillId="10" borderId="16" xfId="69" applyFont="1" applyFill="1" applyBorder="1" applyAlignment="1">
      <alignment horizontal="left" vertical="center" wrapText="1"/>
    </xf>
    <xf numFmtId="1" fontId="1" fillId="0" borderId="0" xfId="69" applyNumberFormat="1" applyAlignment="1">
      <alignment horizontal="center" vertical="center"/>
    </xf>
    <xf numFmtId="167" fontId="1" fillId="0" borderId="0" xfId="69" applyNumberFormat="1" applyAlignment="1">
      <alignment horizontal="center" vertical="center"/>
    </xf>
    <xf numFmtId="0" fontId="1" fillId="0" borderId="0" xfId="69" applyAlignment="1">
      <alignment horizontal="center" vertical="center"/>
    </xf>
    <xf numFmtId="0" fontId="1" fillId="0" borderId="0" xfId="69" applyAlignment="1">
      <alignment horizontal="center"/>
    </xf>
    <xf numFmtId="1" fontId="1" fillId="0" borderId="0" xfId="69" applyNumberFormat="1"/>
    <xf numFmtId="0" fontId="47" fillId="10" borderId="42" xfId="69" applyFont="1" applyFill="1" applyBorder="1" applyAlignment="1">
      <alignment horizontal="left" vertical="center" wrapText="1"/>
    </xf>
    <xf numFmtId="167" fontId="1" fillId="4" borderId="0" xfId="69" applyNumberFormat="1" applyFill="1"/>
    <xf numFmtId="0" fontId="51" fillId="0" borderId="59" xfId="69" applyFont="1" applyBorder="1" applyAlignment="1">
      <alignment horizontal="center" vertical="center" wrapText="1"/>
    </xf>
    <xf numFmtId="0" fontId="51" fillId="0" borderId="4" xfId="69" applyFont="1" applyBorder="1" applyAlignment="1">
      <alignment horizontal="center" vertical="center" wrapText="1"/>
    </xf>
    <xf numFmtId="1" fontId="51" fillId="0" borderId="60" xfId="69" applyNumberFormat="1" applyFont="1" applyBorder="1" applyAlignment="1">
      <alignment horizontal="center" vertical="center" wrapText="1"/>
    </xf>
    <xf numFmtId="167" fontId="51" fillId="4" borderId="61" xfId="69" applyNumberFormat="1" applyFont="1" applyFill="1" applyBorder="1" applyAlignment="1">
      <alignment horizontal="center" vertical="center"/>
    </xf>
    <xf numFmtId="1" fontId="51" fillId="0" borderId="59" xfId="69" applyNumberFormat="1" applyFont="1" applyBorder="1" applyAlignment="1">
      <alignment horizontal="center" vertical="center" wrapText="1"/>
    </xf>
    <xf numFmtId="167" fontId="51" fillId="4" borderId="62" xfId="69" applyNumberFormat="1" applyFont="1" applyFill="1" applyBorder="1" applyAlignment="1">
      <alignment horizontal="center" vertical="center" wrapText="1"/>
    </xf>
    <xf numFmtId="0" fontId="49" fillId="0" borderId="63" xfId="69" applyFont="1" applyBorder="1" applyAlignment="1">
      <alignment horizontal="center" vertical="center" wrapText="1"/>
    </xf>
    <xf numFmtId="0" fontId="49" fillId="0" borderId="58" xfId="69" applyFont="1" applyBorder="1" applyAlignment="1">
      <alignment horizontal="center" vertical="center" wrapText="1"/>
    </xf>
    <xf numFmtId="0" fontId="49" fillId="0" borderId="32" xfId="69" applyFont="1" applyBorder="1" applyAlignment="1">
      <alignment horizontal="center" vertical="center" wrapText="1"/>
    </xf>
    <xf numFmtId="0" fontId="49" fillId="0" borderId="60" xfId="69" applyFont="1" applyBorder="1" applyAlignment="1">
      <alignment horizontal="center" vertical="center" wrapText="1"/>
    </xf>
    <xf numFmtId="167" fontId="51" fillId="4" borderId="64" xfId="69" applyNumberFormat="1" applyFont="1" applyFill="1" applyBorder="1" applyAlignment="1">
      <alignment horizontal="center" vertical="center" wrapText="1"/>
    </xf>
    <xf numFmtId="0" fontId="52" fillId="0" borderId="65" xfId="69" applyFont="1" applyBorder="1" applyAlignment="1">
      <alignment horizontal="center" vertical="center" wrapText="1"/>
    </xf>
    <xf numFmtId="0" fontId="52" fillId="0" borderId="58" xfId="69" applyFont="1" applyBorder="1" applyAlignment="1">
      <alignment horizontal="center" vertical="center" wrapText="1"/>
    </xf>
    <xf numFmtId="0" fontId="52" fillId="0" borderId="32" xfId="69" applyFont="1" applyBorder="1" applyAlignment="1">
      <alignment horizontal="center" vertical="center" wrapText="1"/>
    </xf>
    <xf numFmtId="0" fontId="53" fillId="0" borderId="32" xfId="69" applyFont="1" applyBorder="1" applyAlignment="1">
      <alignment horizontal="center" vertical="center" wrapText="1"/>
    </xf>
    <xf numFmtId="0" fontId="49" fillId="0" borderId="65" xfId="69" applyFont="1" applyBorder="1" applyAlignment="1">
      <alignment horizontal="center" vertical="center" wrapText="1"/>
    </xf>
    <xf numFmtId="0" fontId="51" fillId="0" borderId="65" xfId="69" applyFont="1" applyBorder="1" applyAlignment="1">
      <alignment horizontal="center" vertical="center" wrapText="1"/>
    </xf>
    <xf numFmtId="0" fontId="51" fillId="0" borderId="9" xfId="69" applyFont="1" applyBorder="1" applyAlignment="1">
      <alignment horizontal="center" vertical="center" wrapText="1"/>
    </xf>
    <xf numFmtId="167" fontId="51" fillId="0" borderId="32" xfId="69" applyNumberFormat="1" applyFont="1" applyBorder="1" applyAlignment="1">
      <alignment horizontal="center" vertical="center" wrapText="1"/>
    </xf>
    <xf numFmtId="1" fontId="49" fillId="0" borderId="32" xfId="69" applyNumberFormat="1" applyFont="1" applyBorder="1" applyAlignment="1">
      <alignment horizontal="center" vertical="center" wrapText="1"/>
    </xf>
    <xf numFmtId="1" fontId="51" fillId="0" borderId="65" xfId="69" applyNumberFormat="1" applyFont="1" applyBorder="1" applyAlignment="1">
      <alignment horizontal="center" vertical="center" wrapText="1"/>
    </xf>
    <xf numFmtId="167" fontId="51" fillId="4" borderId="66" xfId="69" applyNumberFormat="1" applyFont="1" applyFill="1" applyBorder="1" applyAlignment="1">
      <alignment horizontal="center" vertical="center" wrapText="1"/>
    </xf>
    <xf numFmtId="167" fontId="54" fillId="4" borderId="0" xfId="69" applyNumberFormat="1" applyFont="1" applyFill="1" applyAlignment="1">
      <alignment vertical="center"/>
    </xf>
    <xf numFmtId="0" fontId="46" fillId="0" borderId="44" xfId="69" applyFont="1" applyBorder="1" applyAlignment="1">
      <alignment horizontal="left" vertical="center" wrapText="1"/>
    </xf>
    <xf numFmtId="1" fontId="46" fillId="0" borderId="16" xfId="69" applyNumberFormat="1" applyFont="1" applyBorder="1" applyAlignment="1">
      <alignment horizontal="center" vertical="center"/>
    </xf>
    <xf numFmtId="0" fontId="46" fillId="0" borderId="16" xfId="69" applyFont="1" applyBorder="1" applyAlignment="1">
      <alignment horizontal="left" vertical="center" wrapText="1"/>
    </xf>
    <xf numFmtId="0" fontId="54" fillId="0" borderId="16" xfId="69" applyFont="1" applyBorder="1" applyAlignment="1">
      <alignment horizontal="center" vertical="center"/>
    </xf>
    <xf numFmtId="0" fontId="46" fillId="0" borderId="16" xfId="69" applyFont="1" applyBorder="1" applyAlignment="1">
      <alignment horizontal="center" vertical="center" wrapText="1"/>
    </xf>
    <xf numFmtId="1" fontId="54" fillId="0" borderId="16" xfId="69" applyNumberFormat="1" applyFont="1" applyBorder="1" applyAlignment="1">
      <alignment horizontal="center" vertical="center"/>
    </xf>
    <xf numFmtId="167" fontId="46" fillId="0" borderId="16" xfId="69" applyNumberFormat="1" applyFont="1" applyBorder="1" applyAlignment="1">
      <alignment horizontal="center" vertical="center"/>
    </xf>
    <xf numFmtId="0" fontId="45" fillId="0" borderId="16" xfId="69" applyFont="1" applyBorder="1" applyAlignment="1">
      <alignment horizontal="center" vertical="center"/>
    </xf>
    <xf numFmtId="0" fontId="46" fillId="0" borderId="16" xfId="69" applyFont="1" applyBorder="1" applyAlignment="1">
      <alignment horizontal="center" vertical="center"/>
    </xf>
    <xf numFmtId="167" fontId="1" fillId="0" borderId="16" xfId="69" applyNumberFormat="1" applyBorder="1" applyAlignment="1">
      <alignment horizontal="center" vertical="center" wrapText="1"/>
    </xf>
    <xf numFmtId="1" fontId="45" fillId="0" borderId="16" xfId="69" applyNumberFormat="1" applyFont="1" applyBorder="1" applyAlignment="1">
      <alignment horizontal="center" vertical="center"/>
    </xf>
    <xf numFmtId="1" fontId="1" fillId="0" borderId="16" xfId="69" applyNumberFormat="1" applyBorder="1" applyAlignment="1">
      <alignment horizontal="center" vertical="center"/>
    </xf>
    <xf numFmtId="167" fontId="51" fillId="4" borderId="16" xfId="69" applyNumberFormat="1" applyFont="1" applyFill="1" applyBorder="1" applyAlignment="1">
      <alignment horizontal="center" vertical="center"/>
    </xf>
    <xf numFmtId="1" fontId="54" fillId="0" borderId="42" xfId="69" applyNumberFormat="1" applyFont="1" applyBorder="1" applyAlignment="1">
      <alignment horizontal="center" vertical="center"/>
    </xf>
    <xf numFmtId="0" fontId="54" fillId="0" borderId="42" xfId="69" applyFont="1" applyBorder="1" applyAlignment="1">
      <alignment horizontal="center" vertical="center"/>
    </xf>
    <xf numFmtId="1" fontId="46" fillId="0" borderId="42" xfId="69" applyNumberFormat="1" applyFont="1" applyBorder="1" applyAlignment="1">
      <alignment horizontal="center" vertical="center"/>
    </xf>
    <xf numFmtId="167" fontId="46" fillId="0" borderId="42" xfId="69" applyNumberFormat="1" applyFont="1" applyBorder="1" applyAlignment="1">
      <alignment horizontal="center" vertical="center"/>
    </xf>
    <xf numFmtId="0" fontId="45" fillId="0" borderId="42" xfId="69" applyFont="1" applyBorder="1" applyAlignment="1">
      <alignment horizontal="center" vertical="center"/>
    </xf>
    <xf numFmtId="0" fontId="1" fillId="0" borderId="42" xfId="69" applyBorder="1" applyAlignment="1">
      <alignment horizontal="center" vertical="center"/>
    </xf>
    <xf numFmtId="0" fontId="1" fillId="0" borderId="44" xfId="69" applyBorder="1" applyAlignment="1">
      <alignment horizontal="center" vertical="center"/>
    </xf>
    <xf numFmtId="0" fontId="1" fillId="0" borderId="43" xfId="69" applyBorder="1" applyAlignment="1">
      <alignment horizontal="center" vertical="center"/>
    </xf>
    <xf numFmtId="167" fontId="54" fillId="0" borderId="16" xfId="69" applyNumberFormat="1" applyFont="1" applyBorder="1" applyAlignment="1">
      <alignment horizontal="center" vertical="center"/>
    </xf>
    <xf numFmtId="0" fontId="46" fillId="0" borderId="42" xfId="69" applyFont="1" applyBorder="1" applyAlignment="1">
      <alignment horizontal="left" vertical="center" wrapText="1"/>
    </xf>
    <xf numFmtId="167" fontId="54" fillId="0" borderId="42" xfId="69" applyNumberFormat="1" applyFont="1" applyBorder="1" applyAlignment="1">
      <alignment horizontal="center" vertical="center"/>
    </xf>
    <xf numFmtId="0" fontId="1" fillId="0" borderId="42" xfId="69" applyBorder="1" applyAlignment="1">
      <alignment horizontal="center"/>
    </xf>
    <xf numFmtId="167" fontId="1" fillId="0" borderId="42" xfId="69" applyNumberFormat="1" applyBorder="1" applyAlignment="1">
      <alignment horizontal="center" vertical="center" wrapText="1"/>
    </xf>
    <xf numFmtId="1" fontId="45" fillId="0" borderId="42" xfId="69" applyNumberFormat="1" applyFont="1" applyBorder="1" applyAlignment="1">
      <alignment horizontal="center"/>
    </xf>
    <xf numFmtId="1" fontId="1" fillId="0" borderId="42" xfId="69" applyNumberFormat="1" applyBorder="1" applyAlignment="1">
      <alignment horizontal="center"/>
    </xf>
    <xf numFmtId="0" fontId="1" fillId="0" borderId="16" xfId="69" applyBorder="1" applyAlignment="1">
      <alignment horizontal="center"/>
    </xf>
    <xf numFmtId="1" fontId="1" fillId="0" borderId="16" xfId="69" applyNumberFormat="1" applyBorder="1" applyAlignment="1">
      <alignment horizontal="center"/>
    </xf>
    <xf numFmtId="167" fontId="54" fillId="4" borderId="0" xfId="69" applyNumberFormat="1" applyFont="1" applyFill="1" applyAlignment="1">
      <alignment horizontal="center" vertical="center"/>
    </xf>
    <xf numFmtId="0" fontId="72" fillId="4" borderId="16" xfId="69" applyFont="1" applyFill="1" applyBorder="1" applyAlignment="1">
      <alignment horizontal="left" vertical="center" wrapText="1"/>
    </xf>
    <xf numFmtId="49" fontId="54" fillId="0" borderId="16" xfId="69" applyNumberFormat="1" applyFont="1" applyBorder="1" applyAlignment="1">
      <alignment horizontal="center" vertical="center"/>
    </xf>
    <xf numFmtId="0" fontId="54" fillId="0" borderId="16" xfId="69" applyFont="1" applyBorder="1" applyAlignment="1">
      <alignment vertical="center"/>
    </xf>
    <xf numFmtId="0" fontId="1" fillId="0" borderId="16" xfId="69" applyBorder="1" applyAlignment="1">
      <alignment vertical="center"/>
    </xf>
    <xf numFmtId="1" fontId="1" fillId="0" borderId="16" xfId="69" applyNumberFormat="1" applyBorder="1" applyAlignment="1">
      <alignment vertical="center"/>
    </xf>
    <xf numFmtId="167" fontId="51" fillId="4" borderId="42" xfId="69" applyNumberFormat="1" applyFont="1" applyFill="1" applyBorder="1" applyAlignment="1">
      <alignment horizontal="center" vertical="center"/>
    </xf>
    <xf numFmtId="0" fontId="1" fillId="0" borderId="0" xfId="69" applyAlignment="1">
      <alignment horizontal="left" vertical="center" wrapText="1"/>
    </xf>
    <xf numFmtId="1" fontId="54" fillId="4" borderId="69" xfId="69" applyNumberFormat="1" applyFont="1" applyFill="1" applyBorder="1" applyAlignment="1">
      <alignment horizontal="center" vertical="center"/>
    </xf>
    <xf numFmtId="0" fontId="54" fillId="0" borderId="70" xfId="69" applyFont="1" applyBorder="1" applyAlignment="1">
      <alignment horizontal="center"/>
    </xf>
    <xf numFmtId="167" fontId="54" fillId="0" borderId="61" xfId="69" applyNumberFormat="1" applyFont="1" applyBorder="1" applyAlignment="1">
      <alignment horizontal="center"/>
    </xf>
    <xf numFmtId="167" fontId="1" fillId="0" borderId="14" xfId="69" applyNumberFormat="1" applyBorder="1" applyAlignment="1">
      <alignment horizontal="center"/>
    </xf>
    <xf numFmtId="1" fontId="54" fillId="4" borderId="15" xfId="69" applyNumberFormat="1" applyFont="1" applyFill="1" applyBorder="1" applyAlignment="1">
      <alignment horizontal="left" vertical="center"/>
    </xf>
    <xf numFmtId="167" fontId="54" fillId="0" borderId="16" xfId="69" applyNumberFormat="1" applyFont="1" applyBorder="1" applyAlignment="1">
      <alignment horizontal="center"/>
    </xf>
    <xf numFmtId="167" fontId="54" fillId="0" borderId="17" xfId="69" applyNumberFormat="1" applyFont="1" applyBorder="1" applyAlignment="1">
      <alignment horizontal="center" vertical="center"/>
    </xf>
    <xf numFmtId="167" fontId="54" fillId="0" borderId="35" xfId="69" applyNumberFormat="1" applyFont="1" applyBorder="1" applyAlignment="1">
      <alignment horizontal="center" vertical="center"/>
    </xf>
    <xf numFmtId="1" fontId="54" fillId="4" borderId="15" xfId="69" applyNumberFormat="1" applyFont="1" applyFill="1" applyBorder="1" applyAlignment="1">
      <alignment horizontal="left" vertical="center" wrapText="1"/>
    </xf>
    <xf numFmtId="167" fontId="54" fillId="0" borderId="17" xfId="69" applyNumberFormat="1" applyFont="1" applyBorder="1" applyAlignment="1">
      <alignment horizontal="center"/>
    </xf>
    <xf numFmtId="167" fontId="46" fillId="0" borderId="17" xfId="69" applyNumberFormat="1" applyFont="1" applyBorder="1" applyAlignment="1">
      <alignment horizontal="center" vertical="center"/>
    </xf>
    <xf numFmtId="1" fontId="54" fillId="4" borderId="50" xfId="69" applyNumberFormat="1" applyFont="1" applyFill="1" applyBorder="1" applyAlignment="1">
      <alignment vertical="center"/>
    </xf>
    <xf numFmtId="0" fontId="46" fillId="0" borderId="51" xfId="69" applyFont="1" applyBorder="1" applyAlignment="1">
      <alignment horizontal="center" vertical="center"/>
    </xf>
    <xf numFmtId="167" fontId="56" fillId="0" borderId="71" xfId="69" applyNumberFormat="1" applyFont="1" applyBorder="1" applyAlignment="1">
      <alignment horizontal="center" vertical="center"/>
    </xf>
    <xf numFmtId="167" fontId="1" fillId="0" borderId="72" xfId="69" applyNumberFormat="1" applyBorder="1"/>
    <xf numFmtId="167" fontId="1" fillId="5" borderId="0" xfId="69" applyNumberFormat="1" applyFill="1" applyAlignment="1">
      <alignment wrapText="1"/>
    </xf>
    <xf numFmtId="1" fontId="45" fillId="5" borderId="0" xfId="69" applyNumberFormat="1" applyFont="1" applyFill="1"/>
    <xf numFmtId="1" fontId="1" fillId="5" borderId="0" xfId="69" applyNumberFormat="1" applyFill="1"/>
    <xf numFmtId="1" fontId="58" fillId="4" borderId="0" xfId="69" applyNumberFormat="1" applyFont="1" applyFill="1"/>
    <xf numFmtId="1" fontId="54" fillId="0" borderId="16" xfId="69" applyNumberFormat="1" applyFont="1" applyBorder="1" applyAlignment="1">
      <alignment horizontal="center" vertical="center" wrapText="1"/>
    </xf>
    <xf numFmtId="167" fontId="1" fillId="0" borderId="0" xfId="69" applyNumberFormat="1" applyAlignment="1">
      <alignment wrapText="1"/>
    </xf>
    <xf numFmtId="0" fontId="60" fillId="4" borderId="16" xfId="66" applyFont="1" applyFill="1" applyBorder="1" applyAlignment="1">
      <alignment horizontal="left" vertical="center"/>
    </xf>
    <xf numFmtId="0" fontId="59" fillId="0" borderId="0" xfId="66" applyAlignment="1">
      <alignment horizontal="left" vertical="center"/>
    </xf>
    <xf numFmtId="0" fontId="52" fillId="0" borderId="44" xfId="70" applyFont="1" applyBorder="1" applyAlignment="1">
      <alignment horizontal="center" vertical="center"/>
    </xf>
    <xf numFmtId="0" fontId="52" fillId="4" borderId="44" xfId="70" applyFont="1" applyFill="1" applyBorder="1" applyAlignment="1">
      <alignment horizontal="center" vertical="center"/>
    </xf>
    <xf numFmtId="0" fontId="66" fillId="0" borderId="44" xfId="70" applyFont="1" applyBorder="1" applyAlignment="1">
      <alignment horizontal="center" vertical="center" wrapText="1"/>
    </xf>
    <xf numFmtId="0" fontId="52" fillId="0" borderId="44" xfId="70" applyFont="1" applyBorder="1" applyAlignment="1">
      <alignment horizontal="center" vertical="center" wrapText="1"/>
    </xf>
    <xf numFmtId="0" fontId="67" fillId="0" borderId="44" xfId="70" applyFont="1" applyBorder="1" applyAlignment="1">
      <alignment horizontal="center" vertical="center"/>
    </xf>
    <xf numFmtId="0" fontId="69" fillId="4" borderId="16" xfId="70" applyFont="1" applyFill="1" applyBorder="1" applyAlignment="1">
      <alignment horizontal="center" vertical="center"/>
    </xf>
    <xf numFmtId="0" fontId="67" fillId="0" borderId="16" xfId="70" applyFont="1" applyBorder="1" applyAlignment="1">
      <alignment horizontal="center" vertical="center"/>
    </xf>
    <xf numFmtId="0" fontId="69" fillId="0" borderId="16" xfId="70" applyFont="1" applyBorder="1" applyAlignment="1">
      <alignment horizontal="left" vertical="center" wrapText="1"/>
    </xf>
    <xf numFmtId="1" fontId="69" fillId="0" borderId="16" xfId="70" applyNumberFormat="1" applyFont="1" applyBorder="1" applyAlignment="1">
      <alignment horizontal="center" vertical="center"/>
    </xf>
    <xf numFmtId="0" fontId="63" fillId="0" borderId="16" xfId="70" applyFont="1" applyBorder="1" applyAlignment="1">
      <alignment horizontal="center" vertical="center" wrapText="1"/>
    </xf>
    <xf numFmtId="0" fontId="69" fillId="0" borderId="16" xfId="70" applyFont="1" applyBorder="1" applyAlignment="1">
      <alignment horizontal="center" vertical="center"/>
    </xf>
    <xf numFmtId="0" fontId="69" fillId="0" borderId="16" xfId="70" applyFont="1" applyBorder="1" applyAlignment="1">
      <alignment horizontal="center"/>
    </xf>
    <xf numFmtId="0" fontId="67" fillId="0" borderId="16" xfId="70" applyFont="1" applyBorder="1" applyAlignment="1">
      <alignment horizontal="center"/>
    </xf>
    <xf numFmtId="0" fontId="69" fillId="0" borderId="16" xfId="70" applyFont="1" applyBorder="1" applyAlignment="1">
      <alignment horizontal="left" vertical="center"/>
    </xf>
    <xf numFmtId="0" fontId="64" fillId="4" borderId="0" xfId="67" applyFill="1"/>
    <xf numFmtId="0" fontId="52" fillId="0" borderId="45" xfId="70" applyFont="1" applyBorder="1" applyAlignment="1">
      <alignment horizontal="center" vertical="center"/>
    </xf>
    <xf numFmtId="0" fontId="70" fillId="4" borderId="16" xfId="70" applyFont="1" applyFill="1" applyBorder="1" applyAlignment="1">
      <alignment horizontal="center" vertical="center"/>
    </xf>
    <xf numFmtId="0" fontId="51" fillId="0" borderId="16" xfId="70" applyFont="1" applyBorder="1" applyAlignment="1">
      <alignment horizontal="center" vertical="center"/>
    </xf>
    <xf numFmtId="0" fontId="70" fillId="0" borderId="16" xfId="70" applyFont="1" applyBorder="1" applyAlignment="1">
      <alignment horizontal="left"/>
    </xf>
    <xf numFmtId="167" fontId="54" fillId="4" borderId="16" xfId="69" applyNumberFormat="1" applyFont="1" applyFill="1" applyBorder="1" applyAlignment="1">
      <alignment horizontal="center" vertical="center"/>
    </xf>
    <xf numFmtId="167" fontId="46" fillId="4" borderId="16" xfId="69" applyNumberFormat="1" applyFont="1" applyFill="1" applyBorder="1" applyAlignment="1">
      <alignment horizontal="center" vertical="center"/>
    </xf>
    <xf numFmtId="1" fontId="46" fillId="4" borderId="16" xfId="69" applyNumberFormat="1" applyFont="1" applyFill="1" applyBorder="1" applyAlignment="1">
      <alignment horizontal="center" vertical="center"/>
    </xf>
    <xf numFmtId="0" fontId="67" fillId="4" borderId="16" xfId="70" applyFont="1" applyFill="1" applyBorder="1" applyAlignment="1">
      <alignment horizontal="center"/>
    </xf>
    <xf numFmtId="0" fontId="69" fillId="4" borderId="16" xfId="70" applyFont="1" applyFill="1" applyBorder="1" applyAlignment="1">
      <alignment horizontal="left" vertical="center"/>
    </xf>
    <xf numFmtId="1" fontId="69" fillId="4" borderId="16" xfId="70" applyNumberFormat="1" applyFont="1" applyFill="1" applyBorder="1" applyAlignment="1">
      <alignment horizontal="center" vertical="center"/>
    </xf>
    <xf numFmtId="0" fontId="63" fillId="4" borderId="16" xfId="70" applyFont="1" applyFill="1" applyBorder="1" applyAlignment="1">
      <alignment horizontal="center" vertical="center" wrapText="1"/>
    </xf>
    <xf numFmtId="0" fontId="63" fillId="4" borderId="16" xfId="66" applyFont="1" applyFill="1" applyBorder="1" applyAlignment="1">
      <alignment horizontal="center" vertical="center" wrapText="1"/>
    </xf>
    <xf numFmtId="0" fontId="69" fillId="4" borderId="16" xfId="70" applyFont="1" applyFill="1" applyBorder="1" applyAlignment="1">
      <alignment horizontal="center"/>
    </xf>
    <xf numFmtId="0" fontId="67" fillId="4" borderId="16" xfId="70" applyFont="1" applyFill="1" applyBorder="1" applyAlignment="1">
      <alignment horizontal="center" vertical="center"/>
    </xf>
    <xf numFmtId="0" fontId="69" fillId="4" borderId="16" xfId="70" applyFont="1" applyFill="1" applyBorder="1" applyAlignment="1">
      <alignment horizontal="left"/>
    </xf>
    <xf numFmtId="1" fontId="69" fillId="4" borderId="16" xfId="70" applyNumberFormat="1" applyFont="1" applyFill="1" applyBorder="1" applyAlignment="1">
      <alignment horizontal="center"/>
    </xf>
    <xf numFmtId="0" fontId="69" fillId="4" borderId="0" xfId="70" applyFont="1" applyFill="1" applyAlignment="1">
      <alignment horizontal="center"/>
    </xf>
    <xf numFmtId="0" fontId="69" fillId="4" borderId="16" xfId="70" applyFont="1" applyFill="1" applyBorder="1" applyAlignment="1">
      <alignment horizontal="left" wrapText="1"/>
    </xf>
    <xf numFmtId="0" fontId="63" fillId="4" borderId="16" xfId="70" applyFont="1" applyFill="1" applyBorder="1" applyAlignment="1">
      <alignment horizontal="center" vertical="center"/>
    </xf>
    <xf numFmtId="0" fontId="68" fillId="4" borderId="16" xfId="70" applyFont="1" applyFill="1" applyBorder="1" applyAlignment="1">
      <alignment horizontal="center"/>
    </xf>
    <xf numFmtId="0" fontId="63" fillId="4" borderId="16" xfId="70" applyFont="1" applyFill="1" applyBorder="1" applyAlignment="1">
      <alignment horizontal="left"/>
    </xf>
    <xf numFmtId="1" fontId="63" fillId="4" borderId="16" xfId="70" applyNumberFormat="1" applyFont="1" applyFill="1" applyBorder="1" applyAlignment="1">
      <alignment horizontal="center"/>
    </xf>
    <xf numFmtId="0" fontId="63" fillId="4" borderId="16" xfId="70" applyFont="1" applyFill="1" applyBorder="1" applyAlignment="1">
      <alignment horizontal="center"/>
    </xf>
    <xf numFmtId="0" fontId="63" fillId="4" borderId="16" xfId="70" applyFont="1" applyFill="1" applyBorder="1" applyAlignment="1">
      <alignment horizontal="left" wrapText="1"/>
    </xf>
    <xf numFmtId="1" fontId="63" fillId="4" borderId="16" xfId="70" applyNumberFormat="1" applyFont="1" applyFill="1" applyBorder="1" applyAlignment="1">
      <alignment horizontal="center" vertical="center"/>
    </xf>
    <xf numFmtId="0" fontId="63" fillId="4" borderId="0" xfId="70" applyFont="1" applyFill="1" applyAlignment="1">
      <alignment horizontal="center"/>
    </xf>
    <xf numFmtId="0" fontId="73" fillId="4" borderId="0" xfId="67" applyFont="1" applyFill="1"/>
    <xf numFmtId="0" fontId="63" fillId="4" borderId="16" xfId="70" applyFont="1" applyFill="1" applyBorder="1" applyAlignment="1">
      <alignment vertical="center" wrapText="1"/>
    </xf>
    <xf numFmtId="0" fontId="69" fillId="4" borderId="16" xfId="67" applyFont="1" applyFill="1" applyBorder="1" applyAlignment="1">
      <alignment horizontal="center"/>
    </xf>
    <xf numFmtId="0" fontId="69" fillId="4" borderId="16" xfId="67" applyFont="1" applyFill="1" applyBorder="1" applyAlignment="1">
      <alignment horizontal="center" vertical="center"/>
    </xf>
    <xf numFmtId="0" fontId="69" fillId="4" borderId="16" xfId="70" applyFont="1" applyFill="1" applyBorder="1"/>
    <xf numFmtId="0" fontId="74" fillId="4" borderId="16" xfId="0" applyFont="1" applyFill="1" applyBorder="1" applyAlignment="1">
      <alignment horizontal="center" vertical="center"/>
    </xf>
    <xf numFmtId="0" fontId="74" fillId="4" borderId="16" xfId="0" applyFont="1" applyFill="1" applyBorder="1" applyAlignment="1">
      <alignment horizontal="center" vertical="center" wrapText="1"/>
    </xf>
    <xf numFmtId="0" fontId="74" fillId="4" borderId="16" xfId="0" applyFont="1" applyFill="1" applyBorder="1" applyAlignment="1">
      <alignment horizontal="center" vertical="top"/>
    </xf>
    <xf numFmtId="0" fontId="74" fillId="4" borderId="16" xfId="0" applyFont="1" applyFill="1" applyBorder="1" applyAlignment="1">
      <alignment horizontal="left"/>
    </xf>
    <xf numFmtId="0" fontId="74" fillId="4" borderId="0" xfId="0" applyFont="1" applyFill="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46" xfId="0" applyFont="1" applyBorder="1" applyAlignment="1">
      <alignment horizontal="center" vertical="center"/>
    </xf>
    <xf numFmtId="0" fontId="8" fillId="0" borderId="7" xfId="0" applyFont="1" applyBorder="1" applyAlignment="1">
      <alignment horizontal="center" vertical="center"/>
    </xf>
    <xf numFmtId="0" fontId="8" fillId="0" borderId="55" xfId="0" applyFont="1" applyBorder="1" applyAlignment="1">
      <alignment horizontal="center" vertical="center"/>
    </xf>
    <xf numFmtId="167" fontId="24" fillId="8" borderId="16" xfId="0" applyNumberFormat="1" applyFont="1" applyFill="1" applyBorder="1" applyAlignment="1" applyProtection="1">
      <alignment horizontal="center" vertical="center" wrapText="1"/>
    </xf>
    <xf numFmtId="0" fontId="23" fillId="0" borderId="0" xfId="0" applyFont="1" applyAlignment="1">
      <alignment horizontal="center"/>
    </xf>
    <xf numFmtId="0" fontId="24" fillId="8" borderId="16" xfId="0" applyFont="1" applyFill="1" applyBorder="1" applyAlignment="1" applyProtection="1">
      <alignment horizontal="center" vertical="center" wrapText="1"/>
    </xf>
    <xf numFmtId="0" fontId="25" fillId="8" borderId="16" xfId="0" applyFont="1" applyFill="1" applyBorder="1" applyAlignment="1" applyProtection="1">
      <alignment horizontal="center" vertical="center" wrapText="1"/>
    </xf>
    <xf numFmtId="167" fontId="25" fillId="8" borderId="16" xfId="0" applyNumberFormat="1" applyFont="1" applyFill="1" applyBorder="1" applyAlignment="1" applyProtection="1">
      <alignment horizontal="center" vertical="center" wrapText="1"/>
    </xf>
    <xf numFmtId="0" fontId="26" fillId="4" borderId="40" xfId="0" applyFont="1" applyFill="1" applyBorder="1" applyAlignment="1">
      <alignment horizontal="center"/>
    </xf>
    <xf numFmtId="0" fontId="26" fillId="4" borderId="34" xfId="0" applyFont="1" applyFill="1" applyBorder="1" applyAlignment="1">
      <alignment horizontal="center"/>
    </xf>
    <xf numFmtId="0" fontId="26" fillId="4" borderId="41" xfId="0" applyFont="1" applyFill="1" applyBorder="1" applyAlignment="1">
      <alignment horizontal="center"/>
    </xf>
    <xf numFmtId="44" fontId="24" fillId="8" borderId="16" xfId="2" applyFont="1" applyFill="1" applyBorder="1" applyAlignment="1" applyProtection="1">
      <alignment horizontal="center" vertical="center" wrapText="1"/>
    </xf>
    <xf numFmtId="44" fontId="24" fillId="8" borderId="42" xfId="2" applyFont="1" applyFill="1" applyBorder="1" applyAlignment="1" applyProtection="1">
      <alignment horizontal="center" vertical="center" wrapText="1"/>
    </xf>
    <xf numFmtId="44" fontId="24" fillId="8" borderId="43" xfId="2" applyFont="1" applyFill="1" applyBorder="1" applyAlignment="1" applyProtection="1">
      <alignment horizontal="center" vertical="center" wrapText="1"/>
    </xf>
    <xf numFmtId="44" fontId="24" fillId="8" borderId="44" xfId="2" applyFont="1" applyFill="1" applyBorder="1" applyAlignment="1" applyProtection="1">
      <alignment horizontal="center" vertical="center" wrapText="1"/>
    </xf>
    <xf numFmtId="0" fontId="24" fillId="8" borderId="16" xfId="0" applyFont="1" applyFill="1" applyBorder="1" applyAlignment="1" applyProtection="1">
      <alignment horizontal="center" vertical="center"/>
    </xf>
    <xf numFmtId="0" fontId="28" fillId="8" borderId="16" xfId="0" applyFont="1" applyFill="1" applyBorder="1" applyAlignment="1" applyProtection="1">
      <alignment horizontal="center" vertical="center" wrapText="1"/>
    </xf>
    <xf numFmtId="2" fontId="24" fillId="8" borderId="16" xfId="0" applyNumberFormat="1" applyFont="1" applyFill="1" applyBorder="1" applyAlignment="1" applyProtection="1">
      <alignment horizontal="center" vertical="center"/>
    </xf>
    <xf numFmtId="167" fontId="24" fillId="8" borderId="16" xfId="0" applyNumberFormat="1" applyFont="1" applyFill="1" applyBorder="1" applyAlignment="1" applyProtection="1">
      <alignment horizontal="center" vertical="center"/>
    </xf>
    <xf numFmtId="0" fontId="9" fillId="4" borderId="16" xfId="49" applyFont="1" applyFill="1" applyBorder="1" applyAlignment="1">
      <alignment horizontal="center" vertical="center" wrapText="1"/>
    </xf>
    <xf numFmtId="0" fontId="20" fillId="7" borderId="16" xfId="49" applyFont="1" applyFill="1" applyBorder="1" applyAlignment="1">
      <alignment horizontal="center" vertical="center" wrapText="1"/>
    </xf>
    <xf numFmtId="0" fontId="48" fillId="0" borderId="0" xfId="69" applyFont="1" applyAlignment="1">
      <alignment horizontal="center" vertical="center"/>
    </xf>
    <xf numFmtId="0" fontId="54" fillId="0" borderId="40" xfId="69" applyFont="1" applyBorder="1" applyAlignment="1">
      <alignment horizontal="center" vertical="center" wrapText="1"/>
    </xf>
    <xf numFmtId="0" fontId="54" fillId="0" borderId="34" xfId="69" applyFont="1" applyBorder="1" applyAlignment="1">
      <alignment horizontal="center" vertical="center" wrapText="1"/>
    </xf>
    <xf numFmtId="0" fontId="54" fillId="0" borderId="41" xfId="69" applyFont="1" applyBorder="1" applyAlignment="1">
      <alignment horizontal="center" vertical="center" wrapText="1"/>
    </xf>
    <xf numFmtId="167" fontId="46" fillId="4" borderId="42" xfId="69" applyNumberFormat="1" applyFont="1" applyFill="1" applyBorder="1" applyAlignment="1">
      <alignment horizontal="center" vertical="center"/>
    </xf>
    <xf numFmtId="167" fontId="46" fillId="4" borderId="44" xfId="69" applyNumberFormat="1" applyFont="1" applyFill="1" applyBorder="1" applyAlignment="1">
      <alignment horizontal="center" vertical="center"/>
    </xf>
    <xf numFmtId="0" fontId="46" fillId="0" borderId="56" xfId="69" applyFont="1" applyBorder="1" applyAlignment="1">
      <alignment horizontal="center" vertical="center"/>
    </xf>
    <xf numFmtId="0" fontId="46" fillId="0" borderId="57" xfId="69" applyFont="1" applyBorder="1" applyAlignment="1">
      <alignment horizontal="center" vertical="center"/>
    </xf>
    <xf numFmtId="0" fontId="46" fillId="0" borderId="58" xfId="69" applyFont="1" applyBorder="1" applyAlignment="1">
      <alignment horizontal="center" vertical="center"/>
    </xf>
    <xf numFmtId="167" fontId="1" fillId="0" borderId="0" xfId="69" applyNumberFormat="1" applyAlignment="1">
      <alignment horizontal="left" wrapText="1"/>
    </xf>
    <xf numFmtId="0" fontId="49" fillId="4" borderId="56" xfId="69" applyFont="1" applyFill="1" applyBorder="1" applyAlignment="1">
      <alignment horizontal="center" vertical="center" wrapText="1"/>
    </xf>
    <xf numFmtId="0" fontId="49" fillId="4" borderId="57" xfId="69" applyFont="1" applyFill="1" applyBorder="1" applyAlignment="1">
      <alignment horizontal="center" vertical="center" wrapText="1"/>
    </xf>
    <xf numFmtId="0" fontId="49" fillId="4" borderId="16" xfId="69" applyFont="1" applyFill="1" applyBorder="1" applyAlignment="1">
      <alignment horizontal="center" vertical="center" wrapText="1"/>
    </xf>
    <xf numFmtId="0" fontId="49" fillId="4" borderId="58" xfId="69" applyFont="1" applyFill="1" applyBorder="1" applyAlignment="1">
      <alignment horizontal="center" vertical="center" wrapText="1"/>
    </xf>
    <xf numFmtId="167" fontId="51" fillId="0" borderId="62" xfId="69" applyNumberFormat="1" applyFont="1" applyBorder="1" applyAlignment="1">
      <alignment horizontal="center" vertical="center" wrapText="1"/>
    </xf>
    <xf numFmtId="167" fontId="51" fillId="0" borderId="64" xfId="69" applyNumberFormat="1" applyFont="1" applyBorder="1" applyAlignment="1">
      <alignment horizontal="center" vertical="center" wrapText="1"/>
    </xf>
    <xf numFmtId="167" fontId="51" fillId="0" borderId="66" xfId="69" applyNumberFormat="1" applyFont="1" applyBorder="1" applyAlignment="1">
      <alignment horizontal="center" vertical="center" wrapText="1"/>
    </xf>
    <xf numFmtId="0" fontId="49" fillId="4" borderId="60" xfId="69" applyFont="1" applyFill="1" applyBorder="1" applyAlignment="1">
      <alignment horizontal="center" vertical="center" wrapText="1"/>
    </xf>
    <xf numFmtId="0" fontId="49" fillId="4" borderId="65" xfId="69" applyFont="1" applyFill="1" applyBorder="1" applyAlignment="1">
      <alignment horizontal="center" vertical="center" wrapText="1"/>
    </xf>
    <xf numFmtId="0" fontId="48" fillId="0" borderId="56" xfId="69" applyFont="1" applyBorder="1" applyAlignment="1">
      <alignment horizontal="center" vertical="center"/>
    </xf>
    <xf numFmtId="0" fontId="48" fillId="0" borderId="57" xfId="69" applyFont="1" applyBorder="1" applyAlignment="1">
      <alignment horizontal="center" vertical="center"/>
    </xf>
    <xf numFmtId="0" fontId="48" fillId="0" borderId="58" xfId="69" applyFont="1" applyBorder="1" applyAlignment="1">
      <alignment horizontal="center" vertical="center"/>
    </xf>
    <xf numFmtId="49" fontId="49" fillId="0" borderId="59" xfId="69" applyNumberFormat="1" applyFont="1" applyBorder="1" applyAlignment="1">
      <alignment horizontal="center" vertical="center" wrapText="1"/>
    </xf>
    <xf numFmtId="49" fontId="49" fillId="0" borderId="65" xfId="69" applyNumberFormat="1" applyFont="1" applyBorder="1" applyAlignment="1">
      <alignment horizontal="center" vertical="center" wrapText="1"/>
    </xf>
    <xf numFmtId="0" fontId="49" fillId="0" borderId="59" xfId="69" applyFont="1" applyBorder="1" applyAlignment="1">
      <alignment horizontal="center" vertical="center" wrapText="1"/>
    </xf>
    <xf numFmtId="0" fontId="49" fillId="0" borderId="65" xfId="69" applyFont="1" applyBorder="1" applyAlignment="1">
      <alignment horizontal="center" vertical="center" wrapText="1"/>
    </xf>
    <xf numFmtId="0" fontId="49" fillId="4" borderId="4" xfId="69" applyFont="1" applyFill="1" applyBorder="1" applyAlignment="1">
      <alignment horizontal="center" vertical="center" wrapText="1"/>
    </xf>
    <xf numFmtId="0" fontId="49" fillId="4" borderId="5" xfId="69" applyFont="1" applyFill="1" applyBorder="1" applyAlignment="1">
      <alignment horizontal="center" vertical="center" wrapText="1"/>
    </xf>
    <xf numFmtId="0" fontId="49" fillId="4" borderId="6" xfId="69" applyFont="1" applyFill="1" applyBorder="1" applyAlignment="1">
      <alignment horizontal="center" vertical="center" wrapText="1"/>
    </xf>
    <xf numFmtId="0" fontId="49" fillId="4" borderId="8" xfId="69" applyFont="1" applyFill="1" applyBorder="1" applyAlignment="1">
      <alignment horizontal="center" vertical="center" wrapText="1"/>
    </xf>
    <xf numFmtId="1" fontId="49" fillId="4" borderId="59" xfId="69" applyNumberFormat="1" applyFont="1" applyFill="1" applyBorder="1" applyAlignment="1">
      <alignment horizontal="center" vertical="center" wrapText="1"/>
    </xf>
    <xf numFmtId="1" fontId="49" fillId="4" borderId="65" xfId="69" applyNumberFormat="1" applyFont="1" applyFill="1" applyBorder="1" applyAlignment="1">
      <alignment horizontal="center" vertical="center" wrapText="1"/>
    </xf>
    <xf numFmtId="0" fontId="50" fillId="4" borderId="9" xfId="69" applyFont="1" applyFill="1" applyBorder="1" applyAlignment="1">
      <alignment horizontal="center"/>
    </xf>
    <xf numFmtId="0" fontId="50" fillId="4" borderId="10" xfId="69" applyFont="1" applyFill="1" applyBorder="1" applyAlignment="1">
      <alignment horizontal="center"/>
    </xf>
    <xf numFmtId="0" fontId="50" fillId="4" borderId="0" xfId="69" applyFont="1" applyFill="1" applyAlignment="1">
      <alignment horizontal="center"/>
    </xf>
    <xf numFmtId="167" fontId="51" fillId="4" borderId="1" xfId="69" applyNumberFormat="1" applyFont="1" applyFill="1" applyBorder="1" applyAlignment="1">
      <alignment horizontal="center" vertical="center" wrapText="1"/>
    </xf>
    <xf numFmtId="167" fontId="51" fillId="4" borderId="2" xfId="69" applyNumberFormat="1" applyFont="1" applyFill="1" applyBorder="1" applyAlignment="1">
      <alignment horizontal="center" vertical="center" wrapText="1"/>
    </xf>
    <xf numFmtId="167" fontId="51" fillId="4" borderId="4" xfId="69" applyNumberFormat="1" applyFont="1" applyFill="1" applyBorder="1" applyAlignment="1">
      <alignment horizontal="center" vertical="center" wrapText="1"/>
    </xf>
    <xf numFmtId="167" fontId="51" fillId="4" borderId="0" xfId="69" applyNumberFormat="1" applyFont="1" applyFill="1" applyAlignment="1">
      <alignment horizontal="center" vertical="center" wrapText="1"/>
    </xf>
    <xf numFmtId="167" fontId="51" fillId="4" borderId="9" xfId="69" applyNumberFormat="1" applyFont="1" applyFill="1" applyBorder="1" applyAlignment="1">
      <alignment horizontal="center" vertical="center" wrapText="1"/>
    </xf>
    <xf numFmtId="167" fontId="51" fillId="4" borderId="10" xfId="69" applyNumberFormat="1" applyFont="1" applyFill="1" applyBorder="1" applyAlignment="1">
      <alignment horizontal="center" vertical="center" wrapText="1"/>
    </xf>
    <xf numFmtId="1" fontId="51" fillId="4" borderId="60" xfId="69" applyNumberFormat="1" applyFont="1" applyFill="1" applyBorder="1" applyAlignment="1">
      <alignment horizontal="center" vertical="center" wrapText="1"/>
    </xf>
    <xf numFmtId="1" fontId="51" fillId="4" borderId="59" xfId="69" applyNumberFormat="1" applyFont="1" applyFill="1" applyBorder="1" applyAlignment="1">
      <alignment horizontal="center" vertical="center" wrapText="1"/>
    </xf>
    <xf numFmtId="1" fontId="51" fillId="4" borderId="65" xfId="69" applyNumberFormat="1" applyFont="1" applyFill="1" applyBorder="1" applyAlignment="1">
      <alignment horizontal="center" vertical="center" wrapText="1"/>
    </xf>
    <xf numFmtId="167" fontId="1" fillId="0" borderId="42" xfId="69" applyNumberFormat="1" applyBorder="1" applyAlignment="1">
      <alignment horizontal="center" vertical="center" wrapText="1"/>
    </xf>
    <xf numFmtId="167" fontId="1" fillId="0" borderId="44" xfId="69" applyNumberFormat="1" applyBorder="1" applyAlignment="1">
      <alignment horizontal="center" vertical="center" wrapText="1"/>
    </xf>
    <xf numFmtId="1" fontId="45" fillId="0" borderId="42" xfId="69" applyNumberFormat="1" applyFont="1" applyBorder="1" applyAlignment="1">
      <alignment horizontal="center" vertical="center"/>
    </xf>
    <xf numFmtId="1" fontId="45" fillId="0" borderId="44" xfId="69" applyNumberFormat="1" applyFont="1" applyBorder="1" applyAlignment="1">
      <alignment horizontal="center" vertical="center"/>
    </xf>
    <xf numFmtId="1" fontId="1" fillId="0" borderId="42" xfId="69" applyNumberFormat="1" applyBorder="1" applyAlignment="1">
      <alignment horizontal="center" vertical="center"/>
    </xf>
    <xf numFmtId="1" fontId="1" fillId="0" borderId="44" xfId="69" applyNumberFormat="1" applyBorder="1" applyAlignment="1">
      <alignment horizontal="center" vertical="center"/>
    </xf>
    <xf numFmtId="167" fontId="51" fillId="4" borderId="42" xfId="69" applyNumberFormat="1" applyFont="1" applyFill="1" applyBorder="1" applyAlignment="1">
      <alignment horizontal="center" vertical="center"/>
    </xf>
    <xf numFmtId="167" fontId="51" fillId="4" borderId="43" xfId="69" applyNumberFormat="1" applyFont="1" applyFill="1" applyBorder="1" applyAlignment="1">
      <alignment horizontal="center" vertical="center"/>
    </xf>
    <xf numFmtId="0" fontId="46" fillId="0" borderId="33" xfId="69" applyFont="1" applyBorder="1" applyAlignment="1">
      <alignment horizontal="center" vertical="center"/>
    </xf>
    <xf numFmtId="0" fontId="46" fillId="0" borderId="34" xfId="69" applyFont="1" applyBorder="1" applyAlignment="1">
      <alignment horizontal="center" vertical="center"/>
    </xf>
    <xf numFmtId="0" fontId="46" fillId="0" borderId="35" xfId="69" applyFont="1" applyBorder="1" applyAlignment="1">
      <alignment horizontal="center" vertical="center"/>
    </xf>
    <xf numFmtId="0" fontId="46" fillId="0" borderId="42" xfId="69" applyFont="1" applyBorder="1" applyAlignment="1">
      <alignment horizontal="center" vertical="center"/>
    </xf>
    <xf numFmtId="0" fontId="46" fillId="0" borderId="44" xfId="69" applyFont="1" applyBorder="1" applyAlignment="1">
      <alignment horizontal="center" vertical="center"/>
    </xf>
    <xf numFmtId="0" fontId="1" fillId="0" borderId="42" xfId="69" applyBorder="1" applyAlignment="1">
      <alignment horizontal="center" vertical="center"/>
    </xf>
    <xf numFmtId="0" fontId="1" fillId="0" borderId="44" xfId="69" applyBorder="1" applyAlignment="1">
      <alignment horizontal="center" vertical="center"/>
    </xf>
    <xf numFmtId="1" fontId="46" fillId="0" borderId="42" xfId="69" applyNumberFormat="1" applyFont="1" applyBorder="1" applyAlignment="1">
      <alignment horizontal="center" vertical="center"/>
    </xf>
    <xf numFmtId="1" fontId="46" fillId="0" borderId="44" xfId="69" applyNumberFormat="1" applyFont="1" applyBorder="1" applyAlignment="1">
      <alignment horizontal="center" vertical="center"/>
    </xf>
    <xf numFmtId="167" fontId="46" fillId="0" borderId="42" xfId="69" applyNumberFormat="1" applyFont="1" applyBorder="1" applyAlignment="1">
      <alignment horizontal="center" vertical="center"/>
    </xf>
    <xf numFmtId="167" fontId="46" fillId="0" borderId="44" xfId="69" applyNumberFormat="1" applyFont="1" applyBorder="1" applyAlignment="1">
      <alignment horizontal="center" vertical="center"/>
    </xf>
    <xf numFmtId="0" fontId="45" fillId="0" borderId="42" xfId="69" applyFont="1" applyBorder="1" applyAlignment="1">
      <alignment horizontal="center" vertical="center"/>
    </xf>
    <xf numFmtId="0" fontId="45" fillId="0" borderId="44" xfId="69" applyFont="1" applyBorder="1" applyAlignment="1">
      <alignment horizontal="center" vertical="center"/>
    </xf>
    <xf numFmtId="0" fontId="54" fillId="0" borderId="42" xfId="69" applyFont="1" applyBorder="1" applyAlignment="1">
      <alignment horizontal="center" vertical="center"/>
    </xf>
    <xf numFmtId="0" fontId="54" fillId="0" borderId="44" xfId="69" applyFont="1" applyBorder="1" applyAlignment="1">
      <alignment horizontal="center" vertical="center"/>
    </xf>
    <xf numFmtId="0" fontId="46" fillId="0" borderId="42" xfId="69" applyFont="1" applyBorder="1" applyAlignment="1">
      <alignment horizontal="center" vertical="center" wrapText="1"/>
    </xf>
    <xf numFmtId="0" fontId="46" fillId="0" borderId="44" xfId="69" applyFont="1" applyBorder="1" applyAlignment="1">
      <alignment horizontal="center" vertical="center" wrapText="1"/>
    </xf>
    <xf numFmtId="167" fontId="51" fillId="4" borderId="44" xfId="69" applyNumberFormat="1" applyFont="1" applyFill="1" applyBorder="1" applyAlignment="1">
      <alignment horizontal="center" vertical="center"/>
    </xf>
    <xf numFmtId="0" fontId="1" fillId="4" borderId="16" xfId="69" applyFill="1" applyBorder="1" applyAlignment="1">
      <alignment horizontal="center" vertical="center" wrapText="1"/>
    </xf>
    <xf numFmtId="0" fontId="46" fillId="0" borderId="42" xfId="69" applyFont="1" applyBorder="1" applyAlignment="1">
      <alignment horizontal="left" vertical="center"/>
    </xf>
    <xf numFmtId="0" fontId="46" fillId="0" borderId="44" xfId="69" applyFont="1" applyBorder="1" applyAlignment="1">
      <alignment horizontal="left" vertical="center"/>
    </xf>
    <xf numFmtId="0" fontId="1" fillId="0" borderId="68" xfId="69" applyBorder="1" applyAlignment="1">
      <alignment horizontal="center" vertical="center" wrapText="1"/>
    </xf>
    <xf numFmtId="0" fontId="1" fillId="0" borderId="43" xfId="69" applyBorder="1" applyAlignment="1">
      <alignment horizontal="center" vertical="center" wrapText="1"/>
    </xf>
    <xf numFmtId="0" fontId="1" fillId="0" borderId="44" xfId="69" applyBorder="1" applyAlignment="1">
      <alignment horizontal="center" vertical="center" wrapText="1"/>
    </xf>
    <xf numFmtId="1" fontId="45" fillId="0" borderId="68" xfId="69" applyNumberFormat="1" applyFont="1" applyBorder="1" applyAlignment="1">
      <alignment horizontal="center" vertical="center"/>
    </xf>
    <xf numFmtId="1" fontId="45" fillId="0" borderId="43" xfId="69" applyNumberFormat="1" applyFont="1" applyBorder="1" applyAlignment="1">
      <alignment horizontal="center" vertical="center"/>
    </xf>
    <xf numFmtId="1" fontId="46" fillId="0" borderId="68" xfId="69" applyNumberFormat="1" applyFont="1" applyBorder="1" applyAlignment="1">
      <alignment horizontal="center" vertical="center"/>
    </xf>
    <xf numFmtId="1" fontId="46" fillId="0" borderId="43" xfId="69" applyNumberFormat="1" applyFont="1" applyBorder="1" applyAlignment="1">
      <alignment horizontal="center" vertical="center"/>
    </xf>
    <xf numFmtId="167" fontId="46" fillId="0" borderId="68" xfId="69" applyNumberFormat="1" applyFont="1" applyBorder="1" applyAlignment="1">
      <alignment horizontal="center" vertical="center"/>
    </xf>
    <xf numFmtId="167" fontId="46" fillId="0" borderId="43" xfId="69" applyNumberFormat="1" applyFont="1" applyBorder="1" applyAlignment="1">
      <alignment horizontal="center" vertical="center"/>
    </xf>
    <xf numFmtId="0" fontId="1" fillId="0" borderId="68" xfId="69" applyBorder="1" applyAlignment="1">
      <alignment horizontal="center" vertical="center"/>
    </xf>
    <xf numFmtId="0" fontId="1" fillId="0" borderId="43" xfId="69" applyBorder="1" applyAlignment="1">
      <alignment horizontal="center" vertical="center"/>
    </xf>
    <xf numFmtId="167" fontId="45" fillId="0" borderId="68" xfId="69" applyNumberFormat="1" applyFont="1" applyBorder="1" applyAlignment="1">
      <alignment horizontal="center" vertical="center"/>
    </xf>
    <xf numFmtId="167" fontId="45" fillId="0" borderId="43" xfId="69" applyNumberFormat="1" applyFont="1" applyBorder="1" applyAlignment="1">
      <alignment horizontal="center" vertical="center"/>
    </xf>
    <xf numFmtId="167" fontId="45" fillId="0" borderId="44" xfId="69" applyNumberFormat="1" applyFont="1" applyBorder="1" applyAlignment="1">
      <alignment horizontal="center" vertical="center"/>
    </xf>
    <xf numFmtId="0" fontId="45" fillId="0" borderId="68" xfId="69" applyFont="1" applyBorder="1" applyAlignment="1">
      <alignment horizontal="center" vertical="center"/>
    </xf>
    <xf numFmtId="0" fontId="45" fillId="0" borderId="43" xfId="69" applyFont="1" applyBorder="1" applyAlignment="1">
      <alignment horizontal="center" vertical="center"/>
    </xf>
    <xf numFmtId="0" fontId="54" fillId="0" borderId="68" xfId="69" applyFont="1" applyBorder="1" applyAlignment="1">
      <alignment horizontal="center" vertical="center"/>
    </xf>
    <xf numFmtId="0" fontId="54" fillId="0" borderId="43" xfId="69" applyFont="1" applyBorder="1" applyAlignment="1">
      <alignment horizontal="center" vertical="center"/>
    </xf>
    <xf numFmtId="0" fontId="49" fillId="0" borderId="56" xfId="69" applyFont="1" applyBorder="1" applyAlignment="1">
      <alignment horizontal="center" vertical="center"/>
    </xf>
    <xf numFmtId="0" fontId="49" fillId="0" borderId="57" xfId="69" applyFont="1" applyBorder="1" applyAlignment="1">
      <alignment horizontal="center" vertical="center"/>
    </xf>
    <xf numFmtId="0" fontId="49" fillId="0" borderId="58" xfId="69" applyFont="1" applyBorder="1" applyAlignment="1">
      <alignment horizontal="center" vertical="center"/>
    </xf>
    <xf numFmtId="0" fontId="46" fillId="0" borderId="68" xfId="69" applyFont="1" applyBorder="1" applyAlignment="1">
      <alignment horizontal="center" vertical="center"/>
    </xf>
    <xf numFmtId="0" fontId="46" fillId="0" borderId="43" xfId="69" applyFont="1" applyBorder="1" applyAlignment="1">
      <alignment horizontal="center" vertical="center"/>
    </xf>
    <xf numFmtId="1" fontId="1" fillId="0" borderId="68" xfId="69" applyNumberFormat="1" applyBorder="1" applyAlignment="1">
      <alignment horizontal="left" vertical="center" wrapText="1"/>
    </xf>
    <xf numFmtId="1" fontId="1" fillId="0" borderId="43" xfId="69" applyNumberFormat="1" applyBorder="1" applyAlignment="1">
      <alignment horizontal="left" vertical="center" wrapText="1"/>
    </xf>
    <xf numFmtId="1" fontId="1" fillId="0" borderId="44" xfId="69" applyNumberFormat="1" applyBorder="1" applyAlignment="1">
      <alignment horizontal="left" vertical="center" wrapText="1"/>
    </xf>
    <xf numFmtId="167" fontId="49" fillId="0" borderId="42" xfId="69" applyNumberFormat="1" applyFont="1" applyBorder="1" applyAlignment="1">
      <alignment horizontal="center" vertical="center" wrapText="1"/>
    </xf>
    <xf numFmtId="167" fontId="49" fillId="0" borderId="43" xfId="69" applyNumberFormat="1" applyFont="1" applyBorder="1" applyAlignment="1">
      <alignment horizontal="center" vertical="center" wrapText="1"/>
    </xf>
    <xf numFmtId="167" fontId="49" fillId="0" borderId="44" xfId="69" applyNumberFormat="1" applyFont="1" applyBorder="1" applyAlignment="1">
      <alignment horizontal="center" vertical="center" wrapText="1"/>
    </xf>
    <xf numFmtId="0" fontId="50" fillId="0" borderId="78" xfId="69" applyFont="1" applyBorder="1" applyAlignment="1">
      <alignment horizontal="center"/>
    </xf>
    <xf numFmtId="0" fontId="50" fillId="0" borderId="57" xfId="69" applyFont="1" applyBorder="1" applyAlignment="1">
      <alignment horizontal="center"/>
    </xf>
    <xf numFmtId="0" fontId="50" fillId="0" borderId="58" xfId="69" applyFont="1" applyBorder="1" applyAlignment="1">
      <alignment horizontal="center"/>
    </xf>
    <xf numFmtId="0" fontId="50" fillId="0" borderId="60" xfId="69" applyFont="1" applyBorder="1" applyAlignment="1">
      <alignment horizontal="center" vertical="center"/>
    </xf>
    <xf numFmtId="0" fontId="50" fillId="0" borderId="59" xfId="69" applyFont="1" applyBorder="1" applyAlignment="1">
      <alignment horizontal="center" vertical="center"/>
    </xf>
    <xf numFmtId="0" fontId="50" fillId="0" borderId="65" xfId="69" applyFont="1" applyBorder="1" applyAlignment="1">
      <alignment horizontal="center" vertical="center"/>
    </xf>
    <xf numFmtId="0" fontId="51" fillId="0" borderId="60" xfId="69" applyFont="1" applyBorder="1" applyAlignment="1">
      <alignment horizontal="center" vertical="center" wrapText="1"/>
    </xf>
    <xf numFmtId="0" fontId="51" fillId="0" borderId="59" xfId="69" applyFont="1" applyBorder="1" applyAlignment="1">
      <alignment horizontal="center" vertical="center" wrapText="1"/>
    </xf>
    <xf numFmtId="0" fontId="51" fillId="0" borderId="65" xfId="69" applyFont="1" applyBorder="1" applyAlignment="1">
      <alignment horizontal="center" vertical="center" wrapText="1"/>
    </xf>
    <xf numFmtId="167" fontId="51" fillId="0" borderId="60" xfId="69" applyNumberFormat="1" applyFont="1" applyBorder="1" applyAlignment="1">
      <alignment horizontal="center" vertical="center" wrapText="1"/>
    </xf>
    <xf numFmtId="167" fontId="51" fillId="0" borderId="59" xfId="69" applyNumberFormat="1" applyFont="1" applyBorder="1" applyAlignment="1">
      <alignment horizontal="center" vertical="center" wrapText="1"/>
    </xf>
    <xf numFmtId="167" fontId="51" fillId="0" borderId="65" xfId="69" applyNumberFormat="1" applyFont="1" applyBorder="1" applyAlignment="1">
      <alignment horizontal="center" vertical="center" wrapText="1"/>
    </xf>
    <xf numFmtId="0" fontId="57" fillId="0" borderId="1" xfId="69" applyFont="1" applyBorder="1" applyAlignment="1">
      <alignment horizontal="center" vertical="center"/>
    </xf>
    <xf numFmtId="0" fontId="57" fillId="0" borderId="2" xfId="69" applyFont="1" applyBorder="1" applyAlignment="1">
      <alignment horizontal="center" vertical="center"/>
    </xf>
    <xf numFmtId="0" fontId="57" fillId="0" borderId="3" xfId="69" applyFont="1" applyBorder="1" applyAlignment="1">
      <alignment horizontal="center" vertical="center"/>
    </xf>
    <xf numFmtId="49" fontId="49" fillId="0" borderId="60" xfId="69" applyNumberFormat="1" applyFont="1" applyBorder="1" applyAlignment="1">
      <alignment horizontal="center" vertical="center" wrapText="1"/>
    </xf>
    <xf numFmtId="0" fontId="49" fillId="0" borderId="60" xfId="69" applyFont="1" applyBorder="1" applyAlignment="1">
      <alignment horizontal="center" vertical="center" wrapText="1"/>
    </xf>
    <xf numFmtId="0" fontId="49" fillId="0" borderId="60" xfId="69" applyFont="1" applyBorder="1" applyAlignment="1">
      <alignment horizontal="left" vertical="center" wrapText="1"/>
    </xf>
    <xf numFmtId="0" fontId="49" fillId="0" borderId="59" xfId="69" applyFont="1" applyBorder="1" applyAlignment="1">
      <alignment horizontal="left" vertical="center" wrapText="1"/>
    </xf>
    <xf numFmtId="0" fontId="49" fillId="0" borderId="65" xfId="69" applyFont="1" applyBorder="1" applyAlignment="1">
      <alignment horizontal="left" vertical="center" wrapText="1"/>
    </xf>
    <xf numFmtId="0" fontId="49" fillId="0" borderId="1" xfId="69" applyFont="1" applyBorder="1" applyAlignment="1">
      <alignment horizontal="center" vertical="center" wrapText="1"/>
    </xf>
    <xf numFmtId="0" fontId="49" fillId="0" borderId="3" xfId="69" applyFont="1" applyBorder="1" applyAlignment="1">
      <alignment horizontal="center" vertical="center" wrapText="1"/>
    </xf>
    <xf numFmtId="0" fontId="49" fillId="0" borderId="6" xfId="69" applyFont="1" applyBorder="1" applyAlignment="1">
      <alignment horizontal="center" vertical="center" wrapText="1"/>
    </xf>
    <xf numFmtId="0" fontId="49" fillId="0" borderId="8" xfId="69" applyFont="1" applyBorder="1" applyAlignment="1">
      <alignment horizontal="center" vertical="center" wrapText="1"/>
    </xf>
    <xf numFmtId="0" fontId="49" fillId="0" borderId="67" xfId="69" applyFont="1" applyBorder="1" applyAlignment="1">
      <alignment horizontal="center" vertical="center" wrapText="1"/>
    </xf>
    <xf numFmtId="0" fontId="49" fillId="0" borderId="77" xfId="69" applyFont="1" applyBorder="1" applyAlignment="1">
      <alignment horizontal="center" vertical="center" wrapText="1"/>
    </xf>
    <xf numFmtId="0" fontId="49" fillId="0" borderId="79" xfId="69" applyFont="1" applyBorder="1" applyAlignment="1">
      <alignment horizontal="center" vertical="center" wrapText="1"/>
    </xf>
    <xf numFmtId="0" fontId="49" fillId="0" borderId="45" xfId="69" applyFont="1" applyBorder="1" applyAlignment="1">
      <alignment horizontal="center" vertical="center" wrapText="1"/>
    </xf>
    <xf numFmtId="1" fontId="49" fillId="0" borderId="42" xfId="69" applyNumberFormat="1" applyFont="1" applyBorder="1" applyAlignment="1">
      <alignment horizontal="center" vertical="center" wrapText="1"/>
    </xf>
    <xf numFmtId="1" fontId="49" fillId="0" borderId="43" xfId="69" applyNumberFormat="1" applyFont="1" applyBorder="1" applyAlignment="1">
      <alignment horizontal="center" vertical="center" wrapText="1"/>
    </xf>
    <xf numFmtId="1" fontId="49" fillId="0" borderId="44" xfId="69" applyNumberFormat="1" applyFont="1" applyBorder="1" applyAlignment="1">
      <alignment horizontal="center" vertical="center" wrapText="1"/>
    </xf>
    <xf numFmtId="167" fontId="51" fillId="0" borderId="1" xfId="69" applyNumberFormat="1" applyFont="1" applyBorder="1" applyAlignment="1">
      <alignment horizontal="center" vertical="center" wrapText="1"/>
    </xf>
    <xf numFmtId="167" fontId="51" fillId="0" borderId="3" xfId="69" applyNumberFormat="1" applyFont="1" applyBorder="1" applyAlignment="1">
      <alignment horizontal="center" vertical="center" wrapText="1"/>
    </xf>
    <xf numFmtId="167" fontId="51" fillId="0" borderId="4" xfId="69" applyNumberFormat="1" applyFont="1" applyBorder="1" applyAlignment="1">
      <alignment horizontal="center" vertical="center" wrapText="1"/>
    </xf>
    <xf numFmtId="167" fontId="51" fillId="0" borderId="5" xfId="69" applyNumberFormat="1" applyFont="1" applyBorder="1" applyAlignment="1">
      <alignment horizontal="center" vertical="center" wrapText="1"/>
    </xf>
    <xf numFmtId="167" fontId="51" fillId="0" borderId="9" xfId="69" applyNumberFormat="1" applyFont="1" applyBorder="1" applyAlignment="1">
      <alignment horizontal="center" vertical="center" wrapText="1"/>
    </xf>
    <xf numFmtId="167" fontId="51" fillId="0" borderId="11" xfId="69" applyNumberFormat="1" applyFont="1" applyBorder="1" applyAlignment="1">
      <alignment horizontal="center" vertical="center" wrapText="1"/>
    </xf>
    <xf numFmtId="0" fontId="49" fillId="0" borderId="78" xfId="69" applyFont="1" applyBorder="1" applyAlignment="1">
      <alignment horizontal="center" vertical="center" wrapText="1"/>
    </xf>
    <xf numFmtId="0" fontId="49" fillId="0" borderId="57" xfId="69" applyFont="1" applyBorder="1" applyAlignment="1">
      <alignment horizontal="center" vertical="center" wrapText="1"/>
    </xf>
    <xf numFmtId="0" fontId="49" fillId="0" borderId="58" xfId="69" applyFont="1" applyBorder="1" applyAlignment="1">
      <alignment horizontal="center" vertical="center" wrapText="1"/>
    </xf>
    <xf numFmtId="0" fontId="49" fillId="0" borderId="56" xfId="69" applyFont="1" applyBorder="1" applyAlignment="1">
      <alignment horizontal="center" vertical="center" wrapText="1"/>
    </xf>
    <xf numFmtId="0" fontId="65" fillId="0" borderId="16" xfId="67" applyFont="1" applyBorder="1" applyAlignment="1">
      <alignment horizontal="center"/>
    </xf>
    <xf numFmtId="0" fontId="68" fillId="0" borderId="42" xfId="70" applyFont="1" applyBorder="1" applyAlignment="1">
      <alignment horizontal="center" vertical="center" wrapText="1"/>
    </xf>
    <xf numFmtId="0" fontId="68" fillId="0" borderId="43" xfId="70" applyFont="1" applyBorder="1" applyAlignment="1">
      <alignment horizontal="center" vertical="center" wrapText="1"/>
    </xf>
    <xf numFmtId="0" fontId="69" fillId="0" borderId="16" xfId="70" applyFont="1" applyBorder="1" applyAlignment="1">
      <alignment horizontal="center" vertical="center"/>
    </xf>
    <xf numFmtId="0" fontId="1" fillId="0" borderId="0" xfId="69" applyAlignment="1">
      <alignment horizontal="left"/>
    </xf>
    <xf numFmtId="0" fontId="59" fillId="0" borderId="0" xfId="66" applyAlignment="1">
      <alignment horizontal="left" vertical="center"/>
    </xf>
    <xf numFmtId="0" fontId="61" fillId="0" borderId="16" xfId="66" applyFont="1" applyBorder="1" applyAlignment="1">
      <alignment horizontal="center" vertical="center"/>
    </xf>
    <xf numFmtId="0" fontId="62" fillId="0" borderId="16" xfId="66" applyFont="1" applyBorder="1" applyAlignment="1">
      <alignment horizontal="center" vertical="center"/>
    </xf>
    <xf numFmtId="0" fontId="61" fillId="0" borderId="42" xfId="66" applyFont="1" applyBorder="1" applyAlignment="1">
      <alignment horizontal="center" vertical="center"/>
    </xf>
    <xf numFmtId="0" fontId="61" fillId="0" borderId="44" xfId="66" applyFont="1" applyBorder="1" applyAlignment="1">
      <alignment horizontal="center" vertical="center"/>
    </xf>
    <xf numFmtId="3" fontId="61" fillId="0" borderId="16" xfId="66" applyNumberFormat="1" applyFont="1" applyBorder="1" applyAlignment="1">
      <alignment horizontal="center" vertical="center"/>
    </xf>
    <xf numFmtId="0" fontId="61" fillId="0" borderId="16" xfId="66" applyFont="1" applyBorder="1" applyAlignment="1">
      <alignment horizontal="center" vertical="center" wrapText="1"/>
    </xf>
    <xf numFmtId="0" fontId="61" fillId="0" borderId="40" xfId="66" applyFont="1" applyBorder="1" applyAlignment="1">
      <alignment horizontal="center" vertical="center" wrapText="1"/>
    </xf>
    <xf numFmtId="0" fontId="61" fillId="0" borderId="34" xfId="66" applyFont="1" applyBorder="1" applyAlignment="1">
      <alignment horizontal="center" vertical="center" wrapText="1"/>
    </xf>
    <xf numFmtId="0" fontId="61" fillId="0" borderId="41" xfId="66" applyFont="1" applyBorder="1" applyAlignment="1">
      <alignment horizontal="center" vertical="center" wrapText="1"/>
    </xf>
    <xf numFmtId="0" fontId="65" fillId="0" borderId="73" xfId="67" applyFont="1" applyBorder="1" applyAlignment="1">
      <alignment horizontal="center" vertical="center"/>
    </xf>
    <xf numFmtId="0" fontId="65" fillId="0" borderId="74" xfId="67" applyFont="1" applyBorder="1" applyAlignment="1">
      <alignment horizontal="center" vertical="center"/>
    </xf>
    <xf numFmtId="0" fontId="65" fillId="0" borderId="75" xfId="67" applyFont="1" applyBorder="1" applyAlignment="1">
      <alignment horizontal="center" vertical="center"/>
    </xf>
    <xf numFmtId="0" fontId="67" fillId="0" borderId="42" xfId="70" applyFont="1" applyBorder="1" applyAlignment="1">
      <alignment horizontal="center" vertical="center"/>
    </xf>
    <xf numFmtId="0" fontId="67" fillId="0" borderId="44" xfId="70" applyFont="1" applyBorder="1" applyAlignment="1">
      <alignment horizontal="center" vertical="center"/>
    </xf>
    <xf numFmtId="0" fontId="1" fillId="0" borderId="0" xfId="69" applyAlignment="1">
      <alignment horizontal="left" vertical="top"/>
    </xf>
    <xf numFmtId="0" fontId="69" fillId="4" borderId="16" xfId="70" applyFont="1" applyFill="1" applyBorder="1" applyAlignment="1">
      <alignment horizontal="center" vertical="center"/>
    </xf>
    <xf numFmtId="0" fontId="68" fillId="4" borderId="16" xfId="70" applyFont="1" applyFill="1" applyBorder="1" applyAlignment="1">
      <alignment horizontal="center" vertical="center" wrapText="1"/>
    </xf>
    <xf numFmtId="0" fontId="68" fillId="4" borderId="42" xfId="70" applyFont="1" applyFill="1" applyBorder="1" applyAlignment="1">
      <alignment horizontal="center" vertical="center" wrapText="1"/>
    </xf>
    <xf numFmtId="0" fontId="68" fillId="4" borderId="43" xfId="70" applyFont="1" applyFill="1" applyBorder="1" applyAlignment="1">
      <alignment horizontal="center" vertical="center" wrapText="1"/>
    </xf>
    <xf numFmtId="0" fontId="69" fillId="4" borderId="16" xfId="70" applyFont="1" applyFill="1" applyBorder="1" applyAlignment="1">
      <alignment horizontal="left" vertical="center"/>
    </xf>
    <xf numFmtId="0" fontId="14" fillId="5" borderId="16" xfId="31" applyFont="1" applyFill="1" applyBorder="1" applyAlignment="1">
      <alignment horizontal="center"/>
    </xf>
    <xf numFmtId="0" fontId="13" fillId="5" borderId="16" xfId="0" applyFont="1" applyFill="1"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17" fillId="0" borderId="40" xfId="0" applyFont="1" applyBorder="1" applyAlignment="1">
      <alignment horizontal="center"/>
    </xf>
    <xf numFmtId="0" fontId="17" fillId="0" borderId="34" xfId="0" applyFont="1" applyBorder="1" applyAlignment="1">
      <alignment horizontal="center"/>
    </xf>
    <xf numFmtId="0" fontId="17" fillId="0" borderId="41" xfId="0" applyFont="1" applyBorder="1" applyAlignment="1">
      <alignment horizontal="center"/>
    </xf>
    <xf numFmtId="0" fontId="18" fillId="0" borderId="40" xfId="0" applyFont="1" applyBorder="1" applyAlignment="1">
      <alignment horizontal="center"/>
    </xf>
    <xf numFmtId="0" fontId="18" fillId="0" borderId="34" xfId="0" applyFont="1" applyBorder="1" applyAlignment="1">
      <alignment horizontal="center"/>
    </xf>
    <xf numFmtId="0" fontId="18" fillId="0" borderId="41" xfId="0" applyFont="1" applyBorder="1" applyAlignment="1">
      <alignment horizontal="center"/>
    </xf>
    <xf numFmtId="0" fontId="8" fillId="0" borderId="40" xfId="0" applyFont="1" applyBorder="1" applyAlignment="1">
      <alignment horizontal="center"/>
    </xf>
    <xf numFmtId="0" fontId="8" fillId="0" borderId="34" xfId="0" applyFont="1" applyBorder="1" applyAlignment="1">
      <alignment horizontal="center"/>
    </xf>
    <xf numFmtId="0" fontId="8" fillId="0" borderId="41" xfId="0" applyFont="1"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3" fillId="0" borderId="42"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3" fillId="0" borderId="44" xfId="0" applyNumberFormat="1" applyFont="1" applyBorder="1" applyAlignment="1">
      <alignment horizontal="center" vertical="center"/>
    </xf>
    <xf numFmtId="0" fontId="13" fillId="0" borderId="42" xfId="0" applyFont="1" applyBorder="1" applyAlignment="1">
      <alignment horizontal="center"/>
    </xf>
    <xf numFmtId="0" fontId="13" fillId="0" borderId="44" xfId="0" applyFont="1" applyBorder="1" applyAlignment="1">
      <alignment horizont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33" xfId="0" applyFont="1" applyFill="1" applyBorder="1" applyAlignment="1">
      <alignment horizontal="center"/>
    </xf>
    <xf numFmtId="0" fontId="5" fillId="2" borderId="34" xfId="0" applyFont="1" applyFill="1" applyBorder="1" applyAlignment="1">
      <alignment horizontal="center"/>
    </xf>
    <xf numFmtId="0" fontId="5" fillId="2" borderId="35" xfId="0" applyFont="1" applyFill="1" applyBorder="1" applyAlignment="1">
      <alignment horizontal="center"/>
    </xf>
    <xf numFmtId="0" fontId="75" fillId="4" borderId="16" xfId="0" applyFont="1" applyFill="1" applyBorder="1" applyAlignment="1">
      <alignment horizontal="center" vertical="center" wrapText="1"/>
    </xf>
    <xf numFmtId="0" fontId="75" fillId="4" borderId="16" xfId="0" applyFont="1" applyFill="1" applyBorder="1" applyAlignment="1">
      <alignment horizontal="center" vertical="center"/>
    </xf>
    <xf numFmtId="169" fontId="75" fillId="4" borderId="16" xfId="0" applyNumberFormat="1" applyFont="1" applyFill="1" applyBorder="1" applyAlignment="1">
      <alignment horizontal="center" vertical="center"/>
    </xf>
    <xf numFmtId="0" fontId="76" fillId="4" borderId="16" xfId="1" applyNumberFormat="1" applyFont="1" applyFill="1" applyBorder="1" applyAlignment="1">
      <alignment horizontal="center" vertical="center" wrapText="1"/>
    </xf>
    <xf numFmtId="0" fontId="78" fillId="4" borderId="16" xfId="0" applyFont="1" applyFill="1" applyBorder="1" applyAlignment="1">
      <alignment vertical="center" wrapText="1"/>
    </xf>
    <xf numFmtId="0" fontId="78" fillId="4" borderId="16" xfId="0" applyFont="1" applyFill="1" applyBorder="1" applyAlignment="1">
      <alignment horizontal="center" vertical="center" wrapText="1"/>
    </xf>
    <xf numFmtId="169" fontId="77" fillId="4" borderId="16" xfId="0" applyNumberFormat="1" applyFont="1" applyFill="1" applyBorder="1" applyAlignment="1">
      <alignment horizontal="center" wrapText="1"/>
    </xf>
    <xf numFmtId="0" fontId="75" fillId="4" borderId="16" xfId="1" applyNumberFormat="1" applyFont="1" applyFill="1" applyBorder="1" applyAlignment="1">
      <alignment horizontal="center" vertical="center" wrapText="1"/>
    </xf>
    <xf numFmtId="169" fontId="77" fillId="4" borderId="16" xfId="0" applyNumberFormat="1" applyFont="1" applyFill="1" applyBorder="1" applyAlignment="1">
      <alignment horizontal="center"/>
    </xf>
    <xf numFmtId="0" fontId="79" fillId="4" borderId="16" xfId="0" applyFont="1" applyFill="1" applyBorder="1" applyAlignment="1">
      <alignment vertical="center" wrapText="1"/>
    </xf>
    <xf numFmtId="0" fontId="80" fillId="4" borderId="16" xfId="0" applyFont="1" applyFill="1" applyBorder="1" applyAlignment="1">
      <alignment horizontal="center" vertical="center" wrapText="1"/>
    </xf>
    <xf numFmtId="0" fontId="77" fillId="4" borderId="16" xfId="0" applyFont="1" applyFill="1" applyBorder="1" applyAlignment="1">
      <alignment horizontal="center"/>
    </xf>
    <xf numFmtId="170" fontId="80" fillId="4" borderId="16" xfId="0" applyNumberFormat="1" applyFont="1" applyFill="1" applyBorder="1" applyAlignment="1" applyProtection="1">
      <alignment horizontal="center" vertical="center"/>
      <protection locked="0"/>
    </xf>
    <xf numFmtId="0" fontId="77" fillId="4" borderId="16" xfId="0" applyFont="1" applyFill="1" applyBorder="1" applyAlignment="1">
      <alignment vertical="center" wrapText="1"/>
    </xf>
    <xf numFmtId="0" fontId="77" fillId="4" borderId="16" xfId="0" applyFont="1" applyFill="1" applyBorder="1" applyAlignment="1">
      <alignment horizontal="center" vertical="center"/>
    </xf>
    <xf numFmtId="0" fontId="77" fillId="4" borderId="16" xfId="1" applyNumberFormat="1" applyFont="1" applyFill="1" applyBorder="1" applyAlignment="1">
      <alignment horizontal="center" vertical="center"/>
    </xf>
    <xf numFmtId="0" fontId="74" fillId="4" borderId="16" xfId="0" applyFont="1" applyFill="1" applyBorder="1" applyAlignment="1">
      <alignment vertical="center" wrapText="1"/>
    </xf>
    <xf numFmtId="0" fontId="79" fillId="4" borderId="16" xfId="0" applyFont="1" applyFill="1" applyBorder="1" applyAlignment="1">
      <alignment horizontal="center" vertical="center" wrapText="1"/>
    </xf>
    <xf numFmtId="1" fontId="81" fillId="4" borderId="16" xfId="0" applyNumberFormat="1" applyFont="1" applyFill="1" applyBorder="1" applyAlignment="1">
      <alignment horizontal="center" vertical="center"/>
    </xf>
    <xf numFmtId="0" fontId="74" fillId="4" borderId="16" xfId="0" applyFont="1" applyFill="1" applyBorder="1" applyAlignment="1">
      <alignment wrapText="1"/>
    </xf>
    <xf numFmtId="0" fontId="79" fillId="4" borderId="16" xfId="0" applyFont="1" applyFill="1" applyBorder="1" applyAlignment="1">
      <alignment horizontal="center"/>
    </xf>
    <xf numFmtId="0" fontId="79" fillId="4" borderId="16" xfId="0" applyFont="1" applyFill="1" applyBorder="1" applyAlignment="1">
      <alignment wrapText="1"/>
    </xf>
    <xf numFmtId="170" fontId="79" fillId="4" borderId="16" xfId="0" applyNumberFormat="1" applyFont="1" applyFill="1" applyBorder="1" applyAlignment="1" applyProtection="1">
      <alignment horizontal="center" vertical="center"/>
      <protection locked="0"/>
    </xf>
    <xf numFmtId="0" fontId="79" fillId="4" borderId="16" xfId="0" applyFont="1" applyFill="1" applyBorder="1" applyAlignment="1">
      <alignment horizontal="center" vertical="center"/>
    </xf>
    <xf numFmtId="0" fontId="82" fillId="4" borderId="16" xfId="0" applyFont="1" applyFill="1" applyBorder="1" applyAlignment="1">
      <alignment horizontal="center" vertical="center"/>
    </xf>
    <xf numFmtId="169" fontId="77" fillId="4" borderId="16" xfId="1" applyNumberFormat="1" applyFont="1" applyFill="1" applyBorder="1" applyAlignment="1">
      <alignment horizontal="center"/>
    </xf>
    <xf numFmtId="0" fontId="77" fillId="4" borderId="16" xfId="1" applyNumberFormat="1" applyFont="1" applyFill="1" applyBorder="1" applyAlignment="1">
      <alignment horizontal="center"/>
    </xf>
    <xf numFmtId="0" fontId="77" fillId="4" borderId="16" xfId="0" applyFont="1" applyFill="1" applyBorder="1" applyAlignment="1">
      <alignment horizontal="center" wrapText="1"/>
    </xf>
    <xf numFmtId="0" fontId="77" fillId="4" borderId="16" xfId="0" applyFont="1" applyFill="1" applyBorder="1" applyAlignment="1">
      <alignment horizontal="center" vertical="center" wrapText="1"/>
    </xf>
    <xf numFmtId="0" fontId="83" fillId="4" borderId="16" xfId="39" applyFont="1" applyFill="1" applyBorder="1" applyAlignment="1">
      <alignment vertical="center" wrapText="1"/>
    </xf>
    <xf numFmtId="0" fontId="85" fillId="4" borderId="16" xfId="35" applyFont="1" applyFill="1" applyBorder="1" applyAlignment="1">
      <alignment vertical="center" wrapText="1"/>
    </xf>
    <xf numFmtId="169" fontId="81" fillId="4" borderId="16" xfId="0" applyNumberFormat="1" applyFont="1" applyFill="1" applyBorder="1" applyAlignment="1">
      <alignment horizontal="center" wrapText="1"/>
    </xf>
    <xf numFmtId="0" fontId="85" fillId="4" borderId="16" xfId="39" applyFont="1" applyFill="1" applyBorder="1" applyAlignment="1">
      <alignment vertical="center" wrapText="1"/>
    </xf>
    <xf numFmtId="0" fontId="83" fillId="4" borderId="16" xfId="35" applyFont="1" applyFill="1" applyBorder="1" applyAlignment="1">
      <alignment vertical="center" wrapText="1"/>
    </xf>
    <xf numFmtId="0" fontId="82" fillId="4" borderId="16" xfId="0" applyFont="1" applyFill="1" applyBorder="1" applyAlignment="1">
      <alignment vertical="center" wrapText="1"/>
    </xf>
    <xf numFmtId="0" fontId="86" fillId="4" borderId="16" xfId="0" applyFont="1" applyFill="1" applyBorder="1" applyAlignment="1">
      <alignment horizontal="center"/>
    </xf>
    <xf numFmtId="0" fontId="80" fillId="4" borderId="16" xfId="0" applyFont="1" applyFill="1" applyBorder="1" applyAlignment="1">
      <alignment vertical="center" wrapText="1"/>
    </xf>
    <xf numFmtId="169" fontId="87" fillId="4" borderId="16" xfId="0" applyNumberFormat="1" applyFont="1" applyFill="1" applyBorder="1" applyAlignment="1">
      <alignment horizontal="center" wrapText="1"/>
    </xf>
    <xf numFmtId="169" fontId="81" fillId="4" borderId="16" xfId="0" applyNumberFormat="1" applyFont="1" applyFill="1" applyBorder="1" applyAlignment="1">
      <alignment horizontal="center"/>
    </xf>
    <xf numFmtId="169" fontId="77" fillId="4" borderId="16" xfId="1" applyNumberFormat="1" applyFont="1" applyFill="1" applyBorder="1" applyAlignment="1">
      <alignment horizontal="center" vertical="center"/>
    </xf>
    <xf numFmtId="0" fontId="74" fillId="4" borderId="16" xfId="0" applyFont="1" applyFill="1" applyBorder="1" applyAlignment="1">
      <alignment horizontal="left" vertical="center" wrapText="1"/>
    </xf>
    <xf numFmtId="169" fontId="77" fillId="4" borderId="16" xfId="0" applyNumberFormat="1" applyFont="1" applyFill="1" applyBorder="1" applyAlignment="1">
      <alignment horizontal="center" vertical="center" wrapText="1"/>
    </xf>
    <xf numFmtId="0" fontId="79" fillId="4" borderId="16" xfId="0" applyFont="1" applyFill="1" applyBorder="1" applyAlignment="1">
      <alignment horizontal="left" vertical="center" wrapText="1"/>
    </xf>
    <xf numFmtId="169" fontId="81" fillId="4" borderId="16" xfId="0" applyNumberFormat="1" applyFont="1" applyFill="1" applyBorder="1" applyAlignment="1">
      <alignment horizontal="center" vertical="center" wrapText="1"/>
    </xf>
    <xf numFmtId="0" fontId="80" fillId="4" borderId="16" xfId="0" applyFont="1" applyFill="1" applyBorder="1" applyAlignment="1">
      <alignment horizontal="left" vertical="center" wrapText="1"/>
    </xf>
    <xf numFmtId="0" fontId="88" fillId="4" borderId="16" xfId="0" applyFont="1" applyFill="1" applyBorder="1" applyAlignment="1">
      <alignment vertical="center" wrapText="1"/>
    </xf>
    <xf numFmtId="173" fontId="77" fillId="4" borderId="16" xfId="0" applyNumberFormat="1" applyFont="1" applyFill="1" applyBorder="1" applyAlignment="1">
      <alignment horizontal="center"/>
    </xf>
    <xf numFmtId="0" fontId="77" fillId="4" borderId="0" xfId="0" applyFont="1" applyFill="1" applyAlignment="1">
      <alignment vertical="center" wrapText="1"/>
    </xf>
    <xf numFmtId="0" fontId="77" fillId="4" borderId="0" xfId="0" applyFont="1" applyFill="1" applyAlignment="1">
      <alignment horizontal="center" vertical="center"/>
    </xf>
    <xf numFmtId="169" fontId="77" fillId="4" borderId="0" xfId="0" applyNumberFormat="1" applyFont="1" applyFill="1" applyAlignment="1">
      <alignment horizontal="center"/>
    </xf>
    <xf numFmtId="0" fontId="77" fillId="4" borderId="0" xfId="1" applyNumberFormat="1" applyFont="1" applyFill="1" applyAlignment="1">
      <alignment horizontal="center" vertical="center"/>
    </xf>
  </cellXfs>
  <cellStyles count="71">
    <cellStyle name="Comma" xfId="1" builtinId="3"/>
    <cellStyle name="Comma 10" xfId="13" xr:uid="{00000000-0005-0000-0000-000001000000}"/>
    <cellStyle name="Comma 2" xfId="14" xr:uid="{00000000-0005-0000-0000-000002000000}"/>
    <cellStyle name="Comma 2 15 2" xfId="5" xr:uid="{00000000-0005-0000-0000-000003000000}"/>
    <cellStyle name="Comma 2 15 2 2" xfId="15" xr:uid="{00000000-0005-0000-0000-000004000000}"/>
    <cellStyle name="Comma 2 2" xfId="11" xr:uid="{00000000-0005-0000-0000-000005000000}"/>
    <cellStyle name="Comma 2 2 2" xfId="16" xr:uid="{00000000-0005-0000-0000-000006000000}"/>
    <cellStyle name="Comma 2 2 2 2" xfId="17" xr:uid="{00000000-0005-0000-0000-000007000000}"/>
    <cellStyle name="Comma 2 2 3" xfId="6" xr:uid="{00000000-0005-0000-0000-000008000000}"/>
    <cellStyle name="Comma 2 3" xfId="12" xr:uid="{00000000-0005-0000-0000-000009000000}"/>
    <cellStyle name="Comma 2 4" xfId="8" xr:uid="{00000000-0005-0000-0000-00000A000000}"/>
    <cellStyle name="Comma 2 4 2" xfId="9" xr:uid="{00000000-0005-0000-0000-00000B000000}"/>
    <cellStyle name="Comma 2 5" xfId="18" xr:uid="{00000000-0005-0000-0000-00000C000000}"/>
    <cellStyle name="Comma 3" xfId="19" xr:uid="{00000000-0005-0000-0000-00000D000000}"/>
    <cellStyle name="Comma 3 2" xfId="20" xr:uid="{00000000-0005-0000-0000-00000E000000}"/>
    <cellStyle name="Comma 3 3" xfId="7" xr:uid="{00000000-0005-0000-0000-00000F000000}"/>
    <cellStyle name="Comma 3 4" xfId="21" xr:uid="{00000000-0005-0000-0000-000010000000}"/>
    <cellStyle name="Comma 3 5" xfId="22" xr:uid="{00000000-0005-0000-0000-000011000000}"/>
    <cellStyle name="Comma 4" xfId="23" xr:uid="{00000000-0005-0000-0000-000012000000}"/>
    <cellStyle name="Comma 4 2" xfId="24" xr:uid="{00000000-0005-0000-0000-000013000000}"/>
    <cellStyle name="Comma 4 3 2" xfId="25" xr:uid="{00000000-0005-0000-0000-000014000000}"/>
    <cellStyle name="Comma 9" xfId="26" xr:uid="{00000000-0005-0000-0000-000015000000}"/>
    <cellStyle name="Comma 9 2" xfId="27" xr:uid="{00000000-0005-0000-0000-000016000000}"/>
    <cellStyle name="Currency" xfId="2" builtinId="4"/>
    <cellStyle name="Hyperlink" xfId="3" builtinId="8"/>
    <cellStyle name="Normal" xfId="0" builtinId="0"/>
    <cellStyle name="Normal - Style1" xfId="10" xr:uid="{00000000-0005-0000-0000-00001A000000}"/>
    <cellStyle name="Normal 10" xfId="28" xr:uid="{00000000-0005-0000-0000-00001B000000}"/>
    <cellStyle name="Normal 11" xfId="29" xr:uid="{00000000-0005-0000-0000-00001C000000}"/>
    <cellStyle name="Normal 12" xfId="30" xr:uid="{00000000-0005-0000-0000-00001D000000}"/>
    <cellStyle name="Normal 13" xfId="65" xr:uid="{00000000-0005-0000-0000-00001E000000}"/>
    <cellStyle name="Normal 14" xfId="69" xr:uid="{00000000-0005-0000-0000-00001F000000}"/>
    <cellStyle name="Normal 2" xfId="31" xr:uid="{00000000-0005-0000-0000-000020000000}"/>
    <cellStyle name="Normal 2 2" xfId="32" xr:uid="{00000000-0005-0000-0000-000021000000}"/>
    <cellStyle name="Normal 2 2 2" xfId="33" xr:uid="{00000000-0005-0000-0000-000022000000}"/>
    <cellStyle name="Normal 2 2 3" xfId="34" xr:uid="{00000000-0005-0000-0000-000023000000}"/>
    <cellStyle name="Normal 2 3" xfId="35" xr:uid="{00000000-0005-0000-0000-000024000000}"/>
    <cellStyle name="Normal 2 3 2" xfId="36" xr:uid="{00000000-0005-0000-0000-000025000000}"/>
    <cellStyle name="Normal 2 4" xfId="37" xr:uid="{00000000-0005-0000-0000-000026000000}"/>
    <cellStyle name="Normal 2 5" xfId="38" xr:uid="{00000000-0005-0000-0000-000027000000}"/>
    <cellStyle name="Normal 2 6" xfId="67" xr:uid="{00000000-0005-0000-0000-000028000000}"/>
    <cellStyle name="Normal 3" xfId="39" xr:uid="{00000000-0005-0000-0000-000029000000}"/>
    <cellStyle name="Normal 3 2" xfId="40" xr:uid="{00000000-0005-0000-0000-00002A000000}"/>
    <cellStyle name="Normal 3 2 2" xfId="41" xr:uid="{00000000-0005-0000-0000-00002B000000}"/>
    <cellStyle name="Normal 3 2 2 2" xfId="4" xr:uid="{00000000-0005-0000-0000-00002C000000}"/>
    <cellStyle name="Normal 3 2 3" xfId="42" xr:uid="{00000000-0005-0000-0000-00002D000000}"/>
    <cellStyle name="Normal 3 3" xfId="43" xr:uid="{00000000-0005-0000-0000-00002E000000}"/>
    <cellStyle name="Normal 3 4" xfId="44" xr:uid="{00000000-0005-0000-0000-00002F000000}"/>
    <cellStyle name="Normal 4" xfId="45" xr:uid="{00000000-0005-0000-0000-000030000000}"/>
    <cellStyle name="Normal 4 2" xfId="46" xr:uid="{00000000-0005-0000-0000-000031000000}"/>
    <cellStyle name="Normal 4 2 2" xfId="47" xr:uid="{00000000-0005-0000-0000-000032000000}"/>
    <cellStyle name="Normal 4 3" xfId="48" xr:uid="{00000000-0005-0000-0000-000033000000}"/>
    <cellStyle name="Normal 5" xfId="49" xr:uid="{00000000-0005-0000-0000-000034000000}"/>
    <cellStyle name="Normal 5 2" xfId="50" xr:uid="{00000000-0005-0000-0000-000035000000}"/>
    <cellStyle name="Normal 5 3" xfId="66" xr:uid="{00000000-0005-0000-0000-000036000000}"/>
    <cellStyle name="Normal 6" xfId="51" xr:uid="{00000000-0005-0000-0000-000037000000}"/>
    <cellStyle name="Normal 6 2" xfId="52" xr:uid="{00000000-0005-0000-0000-000038000000}"/>
    <cellStyle name="Normal 6 2 2" xfId="53" xr:uid="{00000000-0005-0000-0000-000039000000}"/>
    <cellStyle name="Normal 6 3" xfId="68" xr:uid="{00000000-0005-0000-0000-00003A000000}"/>
    <cellStyle name="Normal 6 4" xfId="70" xr:uid="{00000000-0005-0000-0000-00003B000000}"/>
    <cellStyle name="Normal 7" xfId="54" xr:uid="{00000000-0005-0000-0000-00003C000000}"/>
    <cellStyle name="Normal 8" xfId="55" xr:uid="{00000000-0005-0000-0000-00003D000000}"/>
    <cellStyle name="Normal 9" xfId="56" xr:uid="{00000000-0005-0000-0000-00003E000000}"/>
    <cellStyle name="Normal_Bill No. 1 - Preliminaries" xfId="57" xr:uid="{00000000-0005-0000-0000-00003F000000}"/>
    <cellStyle name="Percent 2" xfId="58" xr:uid="{00000000-0005-0000-0000-000040000000}"/>
    <cellStyle name="Percent 2 2" xfId="59" xr:uid="{00000000-0005-0000-0000-000041000000}"/>
    <cellStyle name="Style 1" xfId="60" xr:uid="{00000000-0005-0000-0000-000042000000}"/>
    <cellStyle name="Style 1 2" xfId="61" xr:uid="{00000000-0005-0000-0000-000043000000}"/>
    <cellStyle name="Style 1 2 2" xfId="62" xr:uid="{00000000-0005-0000-0000-000044000000}"/>
    <cellStyle name="Style 1 3" xfId="63" xr:uid="{00000000-0005-0000-0000-000045000000}"/>
    <cellStyle name="Style 1 4" xfId="64" xr:uid="{00000000-0005-0000-0000-00004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7</xdr:row>
      <xdr:rowOff>0</xdr:rowOff>
    </xdr:from>
    <xdr:to>
      <xdr:col>2</xdr:col>
      <xdr:colOff>457200</xdr:colOff>
      <xdr:row>7</xdr:row>
      <xdr:rowOff>9525</xdr:rowOff>
    </xdr:to>
    <xdr:sp macro="" textlink="">
      <xdr:nvSpPr>
        <xdr:cNvPr id="2" name="Text Box 3">
          <a:extLst>
            <a:ext uri="{FF2B5EF4-FFF2-40B4-BE49-F238E27FC236}">
              <a16:creationId xmlns:a16="http://schemas.microsoft.com/office/drawing/2014/main" id="{00000000-0008-0000-0900-000002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8</xdr:row>
      <xdr:rowOff>57150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a:xfrm>
          <a:off x="1447800" y="13430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5" name="Text Box 3">
          <a:extLst>
            <a:ext uri="{FF2B5EF4-FFF2-40B4-BE49-F238E27FC236}">
              <a16:creationId xmlns:a16="http://schemas.microsoft.com/office/drawing/2014/main" id="{00000000-0008-0000-0900-000005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8</xdr:row>
      <xdr:rowOff>57150</xdr:rowOff>
    </xdr:to>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a:xfrm>
          <a:off x="1447800" y="13430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8" name="Text Box 3">
          <a:extLst>
            <a:ext uri="{FF2B5EF4-FFF2-40B4-BE49-F238E27FC236}">
              <a16:creationId xmlns:a16="http://schemas.microsoft.com/office/drawing/2014/main" id="{00000000-0008-0000-0900-000008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9" name="Text Box 3">
          <a:extLst>
            <a:ext uri="{FF2B5EF4-FFF2-40B4-BE49-F238E27FC236}">
              <a16:creationId xmlns:a16="http://schemas.microsoft.com/office/drawing/2014/main" id="{00000000-0008-0000-0900-000009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8</xdr:row>
      <xdr:rowOff>57150</xdr:rowOff>
    </xdr:to>
    <xdr:sp macro="" textlink="">
      <xdr:nvSpPr>
        <xdr:cNvPr id="10" name="Text Box 3">
          <a:extLst>
            <a:ext uri="{FF2B5EF4-FFF2-40B4-BE49-F238E27FC236}">
              <a16:creationId xmlns:a16="http://schemas.microsoft.com/office/drawing/2014/main" id="{00000000-0008-0000-0900-00000A000000}"/>
            </a:ext>
          </a:extLst>
        </xdr:cNvPr>
        <xdr:cNvSpPr txBox="1">
          <a:spLocks noChangeArrowheads="1"/>
        </xdr:cNvSpPr>
      </xdr:nvSpPr>
      <xdr:spPr>
        <a:xfrm>
          <a:off x="1447800" y="13430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11" name="Text Box 3">
          <a:extLst>
            <a:ext uri="{FF2B5EF4-FFF2-40B4-BE49-F238E27FC236}">
              <a16:creationId xmlns:a16="http://schemas.microsoft.com/office/drawing/2014/main" id="{00000000-0008-0000-0900-00000B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12" name="Text Box 3">
          <a:extLst>
            <a:ext uri="{FF2B5EF4-FFF2-40B4-BE49-F238E27FC236}">
              <a16:creationId xmlns:a16="http://schemas.microsoft.com/office/drawing/2014/main" id="{00000000-0008-0000-0900-00000C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13" name="Text Box 3">
          <a:extLst>
            <a:ext uri="{FF2B5EF4-FFF2-40B4-BE49-F238E27FC236}">
              <a16:creationId xmlns:a16="http://schemas.microsoft.com/office/drawing/2014/main" id="{00000000-0008-0000-0900-00000D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14" name="Text Box 3">
          <a:extLst>
            <a:ext uri="{FF2B5EF4-FFF2-40B4-BE49-F238E27FC236}">
              <a16:creationId xmlns:a16="http://schemas.microsoft.com/office/drawing/2014/main" id="{00000000-0008-0000-0900-00000E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8</xdr:row>
      <xdr:rowOff>57150</xdr:rowOff>
    </xdr:to>
    <xdr:sp macro="" textlink="">
      <xdr:nvSpPr>
        <xdr:cNvPr id="15" name="Text Box 3">
          <a:extLst>
            <a:ext uri="{FF2B5EF4-FFF2-40B4-BE49-F238E27FC236}">
              <a16:creationId xmlns:a16="http://schemas.microsoft.com/office/drawing/2014/main" id="{00000000-0008-0000-0900-00000F000000}"/>
            </a:ext>
          </a:extLst>
        </xdr:cNvPr>
        <xdr:cNvSpPr txBox="1">
          <a:spLocks noChangeArrowheads="1"/>
        </xdr:cNvSpPr>
      </xdr:nvSpPr>
      <xdr:spPr>
        <a:xfrm>
          <a:off x="1447800" y="13430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16" name="Text Box 3">
          <a:extLst>
            <a:ext uri="{FF2B5EF4-FFF2-40B4-BE49-F238E27FC236}">
              <a16:creationId xmlns:a16="http://schemas.microsoft.com/office/drawing/2014/main" id="{00000000-0008-0000-0900-000010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17" name="Text Box 3">
          <a:extLst>
            <a:ext uri="{FF2B5EF4-FFF2-40B4-BE49-F238E27FC236}">
              <a16:creationId xmlns:a16="http://schemas.microsoft.com/office/drawing/2014/main" id="{00000000-0008-0000-0900-000011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18" name="Text Box 3">
          <a:extLst>
            <a:ext uri="{FF2B5EF4-FFF2-40B4-BE49-F238E27FC236}">
              <a16:creationId xmlns:a16="http://schemas.microsoft.com/office/drawing/2014/main" id="{00000000-0008-0000-0900-000012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19" name="Text Box 3">
          <a:extLst>
            <a:ext uri="{FF2B5EF4-FFF2-40B4-BE49-F238E27FC236}">
              <a16:creationId xmlns:a16="http://schemas.microsoft.com/office/drawing/2014/main" id="{00000000-0008-0000-0900-000013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20" name="Text Box 3">
          <a:extLst>
            <a:ext uri="{FF2B5EF4-FFF2-40B4-BE49-F238E27FC236}">
              <a16:creationId xmlns:a16="http://schemas.microsoft.com/office/drawing/2014/main" id="{00000000-0008-0000-0900-000014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21" name="Text Box 3">
          <a:extLst>
            <a:ext uri="{FF2B5EF4-FFF2-40B4-BE49-F238E27FC236}">
              <a16:creationId xmlns:a16="http://schemas.microsoft.com/office/drawing/2014/main" id="{00000000-0008-0000-0900-000015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22" name="Text Box 3">
          <a:extLst>
            <a:ext uri="{FF2B5EF4-FFF2-40B4-BE49-F238E27FC236}">
              <a16:creationId xmlns:a16="http://schemas.microsoft.com/office/drawing/2014/main" id="{00000000-0008-0000-0900-000016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23" name="Text Box 3">
          <a:extLst>
            <a:ext uri="{FF2B5EF4-FFF2-40B4-BE49-F238E27FC236}">
              <a16:creationId xmlns:a16="http://schemas.microsoft.com/office/drawing/2014/main" id="{00000000-0008-0000-0900-000017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24" name="Text Box 3">
          <a:extLst>
            <a:ext uri="{FF2B5EF4-FFF2-40B4-BE49-F238E27FC236}">
              <a16:creationId xmlns:a16="http://schemas.microsoft.com/office/drawing/2014/main" id="{00000000-0008-0000-0900-000018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8</xdr:row>
      <xdr:rowOff>57150</xdr:rowOff>
    </xdr:to>
    <xdr:sp macro="" textlink="">
      <xdr:nvSpPr>
        <xdr:cNvPr id="25" name="Text Box 3">
          <a:extLst>
            <a:ext uri="{FF2B5EF4-FFF2-40B4-BE49-F238E27FC236}">
              <a16:creationId xmlns:a16="http://schemas.microsoft.com/office/drawing/2014/main" id="{00000000-0008-0000-0900-000019000000}"/>
            </a:ext>
          </a:extLst>
        </xdr:cNvPr>
        <xdr:cNvSpPr txBox="1">
          <a:spLocks noChangeArrowheads="1"/>
        </xdr:cNvSpPr>
      </xdr:nvSpPr>
      <xdr:spPr>
        <a:xfrm>
          <a:off x="1457325" y="13430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26" name="Text Box 3">
          <a:extLst>
            <a:ext uri="{FF2B5EF4-FFF2-40B4-BE49-F238E27FC236}">
              <a16:creationId xmlns:a16="http://schemas.microsoft.com/office/drawing/2014/main" id="{00000000-0008-0000-0900-00001A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27" name="Text Box 3">
          <a:extLst>
            <a:ext uri="{FF2B5EF4-FFF2-40B4-BE49-F238E27FC236}">
              <a16:creationId xmlns:a16="http://schemas.microsoft.com/office/drawing/2014/main" id="{00000000-0008-0000-0900-00001B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8</xdr:row>
      <xdr:rowOff>57150</xdr:rowOff>
    </xdr:to>
    <xdr:sp macro="" textlink="">
      <xdr:nvSpPr>
        <xdr:cNvPr id="28" name="Text Box 3">
          <a:extLst>
            <a:ext uri="{FF2B5EF4-FFF2-40B4-BE49-F238E27FC236}">
              <a16:creationId xmlns:a16="http://schemas.microsoft.com/office/drawing/2014/main" id="{00000000-0008-0000-0900-00001C000000}"/>
            </a:ext>
          </a:extLst>
        </xdr:cNvPr>
        <xdr:cNvSpPr txBox="1">
          <a:spLocks noChangeArrowheads="1"/>
        </xdr:cNvSpPr>
      </xdr:nvSpPr>
      <xdr:spPr>
        <a:xfrm>
          <a:off x="1457325" y="13430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29" name="Text Box 3">
          <a:extLst>
            <a:ext uri="{FF2B5EF4-FFF2-40B4-BE49-F238E27FC236}">
              <a16:creationId xmlns:a16="http://schemas.microsoft.com/office/drawing/2014/main" id="{00000000-0008-0000-0900-00001D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30" name="Text Box 3">
          <a:extLst>
            <a:ext uri="{FF2B5EF4-FFF2-40B4-BE49-F238E27FC236}">
              <a16:creationId xmlns:a16="http://schemas.microsoft.com/office/drawing/2014/main" id="{00000000-0008-0000-0900-00001E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8</xdr:row>
      <xdr:rowOff>57150</xdr:rowOff>
    </xdr:to>
    <xdr:sp macro="" textlink="">
      <xdr:nvSpPr>
        <xdr:cNvPr id="31" name="Text Box 3">
          <a:extLst>
            <a:ext uri="{FF2B5EF4-FFF2-40B4-BE49-F238E27FC236}">
              <a16:creationId xmlns:a16="http://schemas.microsoft.com/office/drawing/2014/main" id="{00000000-0008-0000-0900-00001F000000}"/>
            </a:ext>
          </a:extLst>
        </xdr:cNvPr>
        <xdr:cNvSpPr txBox="1">
          <a:spLocks noChangeArrowheads="1"/>
        </xdr:cNvSpPr>
      </xdr:nvSpPr>
      <xdr:spPr>
        <a:xfrm>
          <a:off x="1457325" y="13430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32" name="Text Box 3">
          <a:extLst>
            <a:ext uri="{FF2B5EF4-FFF2-40B4-BE49-F238E27FC236}">
              <a16:creationId xmlns:a16="http://schemas.microsoft.com/office/drawing/2014/main" id="{00000000-0008-0000-0900-000020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33" name="Text Box 3">
          <a:extLst>
            <a:ext uri="{FF2B5EF4-FFF2-40B4-BE49-F238E27FC236}">
              <a16:creationId xmlns:a16="http://schemas.microsoft.com/office/drawing/2014/main" id="{00000000-0008-0000-0900-000021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34" name="Text Box 3">
          <a:extLst>
            <a:ext uri="{FF2B5EF4-FFF2-40B4-BE49-F238E27FC236}">
              <a16:creationId xmlns:a16="http://schemas.microsoft.com/office/drawing/2014/main" id="{00000000-0008-0000-0900-000022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35" name="Text Box 3">
          <a:extLst>
            <a:ext uri="{FF2B5EF4-FFF2-40B4-BE49-F238E27FC236}">
              <a16:creationId xmlns:a16="http://schemas.microsoft.com/office/drawing/2014/main" id="{00000000-0008-0000-0900-000023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8</xdr:row>
      <xdr:rowOff>57150</xdr:rowOff>
    </xdr:to>
    <xdr:sp macro="" textlink="">
      <xdr:nvSpPr>
        <xdr:cNvPr id="36" name="Text Box 3">
          <a:extLst>
            <a:ext uri="{FF2B5EF4-FFF2-40B4-BE49-F238E27FC236}">
              <a16:creationId xmlns:a16="http://schemas.microsoft.com/office/drawing/2014/main" id="{00000000-0008-0000-0900-000024000000}"/>
            </a:ext>
          </a:extLst>
        </xdr:cNvPr>
        <xdr:cNvSpPr txBox="1">
          <a:spLocks noChangeArrowheads="1"/>
        </xdr:cNvSpPr>
      </xdr:nvSpPr>
      <xdr:spPr>
        <a:xfrm>
          <a:off x="1457325" y="13430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37" name="Text Box 3">
          <a:extLst>
            <a:ext uri="{FF2B5EF4-FFF2-40B4-BE49-F238E27FC236}">
              <a16:creationId xmlns:a16="http://schemas.microsoft.com/office/drawing/2014/main" id="{00000000-0008-0000-0900-000025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38" name="Text Box 3">
          <a:extLst>
            <a:ext uri="{FF2B5EF4-FFF2-40B4-BE49-F238E27FC236}">
              <a16:creationId xmlns:a16="http://schemas.microsoft.com/office/drawing/2014/main" id="{00000000-0008-0000-0900-000026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39" name="Text Box 3">
          <a:extLst>
            <a:ext uri="{FF2B5EF4-FFF2-40B4-BE49-F238E27FC236}">
              <a16:creationId xmlns:a16="http://schemas.microsoft.com/office/drawing/2014/main" id="{00000000-0008-0000-0900-000027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40" name="Text Box 3">
          <a:extLst>
            <a:ext uri="{FF2B5EF4-FFF2-40B4-BE49-F238E27FC236}">
              <a16:creationId xmlns:a16="http://schemas.microsoft.com/office/drawing/2014/main" id="{00000000-0008-0000-0900-000028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41" name="Text Box 3">
          <a:extLst>
            <a:ext uri="{FF2B5EF4-FFF2-40B4-BE49-F238E27FC236}">
              <a16:creationId xmlns:a16="http://schemas.microsoft.com/office/drawing/2014/main" id="{00000000-0008-0000-0900-000029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42" name="Text Box 3">
          <a:extLst>
            <a:ext uri="{FF2B5EF4-FFF2-40B4-BE49-F238E27FC236}">
              <a16:creationId xmlns:a16="http://schemas.microsoft.com/office/drawing/2014/main" id="{00000000-0008-0000-0900-00002A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43" name="Text Box 3">
          <a:extLst>
            <a:ext uri="{FF2B5EF4-FFF2-40B4-BE49-F238E27FC236}">
              <a16:creationId xmlns:a16="http://schemas.microsoft.com/office/drawing/2014/main" id="{00000000-0008-0000-0900-00002B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44" name="Text Box 3">
          <a:extLst>
            <a:ext uri="{FF2B5EF4-FFF2-40B4-BE49-F238E27FC236}">
              <a16:creationId xmlns:a16="http://schemas.microsoft.com/office/drawing/2014/main" id="{00000000-0008-0000-0900-00002C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45" name="Text Box 3">
          <a:extLst>
            <a:ext uri="{FF2B5EF4-FFF2-40B4-BE49-F238E27FC236}">
              <a16:creationId xmlns:a16="http://schemas.microsoft.com/office/drawing/2014/main" id="{00000000-0008-0000-0900-00002D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7</xdr:row>
      <xdr:rowOff>171450</xdr:rowOff>
    </xdr:to>
    <xdr:sp macro="" textlink="">
      <xdr:nvSpPr>
        <xdr:cNvPr id="46" name="Text Box 3">
          <a:extLst>
            <a:ext uri="{FF2B5EF4-FFF2-40B4-BE49-F238E27FC236}">
              <a16:creationId xmlns:a16="http://schemas.microsoft.com/office/drawing/2014/main" id="{00000000-0008-0000-0900-00002E000000}"/>
            </a:ext>
          </a:extLst>
        </xdr:cNvPr>
        <xdr:cNvSpPr txBox="1">
          <a:spLocks noChangeArrowheads="1"/>
        </xdr:cNvSpPr>
      </xdr:nvSpPr>
      <xdr:spPr>
        <a:xfrm>
          <a:off x="1447800" y="1343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47" name="Text Box 3">
          <a:extLst>
            <a:ext uri="{FF2B5EF4-FFF2-40B4-BE49-F238E27FC236}">
              <a16:creationId xmlns:a16="http://schemas.microsoft.com/office/drawing/2014/main" id="{00000000-0008-0000-0900-00002F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48" name="Text Box 3">
          <a:extLst>
            <a:ext uri="{FF2B5EF4-FFF2-40B4-BE49-F238E27FC236}">
              <a16:creationId xmlns:a16="http://schemas.microsoft.com/office/drawing/2014/main" id="{00000000-0008-0000-0900-000030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7</xdr:row>
      <xdr:rowOff>171450</xdr:rowOff>
    </xdr:to>
    <xdr:sp macro="" textlink="">
      <xdr:nvSpPr>
        <xdr:cNvPr id="49" name="Text Box 3">
          <a:extLst>
            <a:ext uri="{FF2B5EF4-FFF2-40B4-BE49-F238E27FC236}">
              <a16:creationId xmlns:a16="http://schemas.microsoft.com/office/drawing/2014/main" id="{00000000-0008-0000-0900-000031000000}"/>
            </a:ext>
          </a:extLst>
        </xdr:cNvPr>
        <xdr:cNvSpPr txBox="1">
          <a:spLocks noChangeArrowheads="1"/>
        </xdr:cNvSpPr>
      </xdr:nvSpPr>
      <xdr:spPr>
        <a:xfrm>
          <a:off x="1447800" y="1343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50" name="Text Box 3">
          <a:extLst>
            <a:ext uri="{FF2B5EF4-FFF2-40B4-BE49-F238E27FC236}">
              <a16:creationId xmlns:a16="http://schemas.microsoft.com/office/drawing/2014/main" id="{00000000-0008-0000-0900-000032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51" name="Text Box 3">
          <a:extLst>
            <a:ext uri="{FF2B5EF4-FFF2-40B4-BE49-F238E27FC236}">
              <a16:creationId xmlns:a16="http://schemas.microsoft.com/office/drawing/2014/main" id="{00000000-0008-0000-0900-000033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7</xdr:row>
      <xdr:rowOff>171450</xdr:rowOff>
    </xdr:to>
    <xdr:sp macro="" textlink="">
      <xdr:nvSpPr>
        <xdr:cNvPr id="52" name="Text Box 3">
          <a:extLst>
            <a:ext uri="{FF2B5EF4-FFF2-40B4-BE49-F238E27FC236}">
              <a16:creationId xmlns:a16="http://schemas.microsoft.com/office/drawing/2014/main" id="{00000000-0008-0000-0900-000034000000}"/>
            </a:ext>
          </a:extLst>
        </xdr:cNvPr>
        <xdr:cNvSpPr txBox="1">
          <a:spLocks noChangeArrowheads="1"/>
        </xdr:cNvSpPr>
      </xdr:nvSpPr>
      <xdr:spPr>
        <a:xfrm>
          <a:off x="1447800" y="1343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53" name="Text Box 3">
          <a:extLst>
            <a:ext uri="{FF2B5EF4-FFF2-40B4-BE49-F238E27FC236}">
              <a16:creationId xmlns:a16="http://schemas.microsoft.com/office/drawing/2014/main" id="{00000000-0008-0000-0900-000035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54" name="Text Box 3">
          <a:extLst>
            <a:ext uri="{FF2B5EF4-FFF2-40B4-BE49-F238E27FC236}">
              <a16:creationId xmlns:a16="http://schemas.microsoft.com/office/drawing/2014/main" id="{00000000-0008-0000-0900-000036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55" name="Text Box 3">
          <a:extLst>
            <a:ext uri="{FF2B5EF4-FFF2-40B4-BE49-F238E27FC236}">
              <a16:creationId xmlns:a16="http://schemas.microsoft.com/office/drawing/2014/main" id="{00000000-0008-0000-0900-000037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56" name="Text Box 3">
          <a:extLst>
            <a:ext uri="{FF2B5EF4-FFF2-40B4-BE49-F238E27FC236}">
              <a16:creationId xmlns:a16="http://schemas.microsoft.com/office/drawing/2014/main" id="{00000000-0008-0000-0900-000038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342900</xdr:colOff>
      <xdr:row>7</xdr:row>
      <xdr:rowOff>171450</xdr:rowOff>
    </xdr:to>
    <xdr:sp macro="" textlink="">
      <xdr:nvSpPr>
        <xdr:cNvPr id="57" name="Text Box 3">
          <a:extLst>
            <a:ext uri="{FF2B5EF4-FFF2-40B4-BE49-F238E27FC236}">
              <a16:creationId xmlns:a16="http://schemas.microsoft.com/office/drawing/2014/main" id="{00000000-0008-0000-0900-000039000000}"/>
            </a:ext>
          </a:extLst>
        </xdr:cNvPr>
        <xdr:cNvSpPr txBox="1">
          <a:spLocks noChangeArrowheads="1"/>
        </xdr:cNvSpPr>
      </xdr:nvSpPr>
      <xdr:spPr>
        <a:xfrm>
          <a:off x="1447800" y="13430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58" name="Text Box 3">
          <a:extLst>
            <a:ext uri="{FF2B5EF4-FFF2-40B4-BE49-F238E27FC236}">
              <a16:creationId xmlns:a16="http://schemas.microsoft.com/office/drawing/2014/main" id="{00000000-0008-0000-0900-00003A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59" name="Text Box 3">
          <a:extLst>
            <a:ext uri="{FF2B5EF4-FFF2-40B4-BE49-F238E27FC236}">
              <a16:creationId xmlns:a16="http://schemas.microsoft.com/office/drawing/2014/main" id="{00000000-0008-0000-0900-00003B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60" name="Text Box 3">
          <a:extLst>
            <a:ext uri="{FF2B5EF4-FFF2-40B4-BE49-F238E27FC236}">
              <a16:creationId xmlns:a16="http://schemas.microsoft.com/office/drawing/2014/main" id="{00000000-0008-0000-0900-00003C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61" name="Text Box 3">
          <a:extLst>
            <a:ext uri="{FF2B5EF4-FFF2-40B4-BE49-F238E27FC236}">
              <a16:creationId xmlns:a16="http://schemas.microsoft.com/office/drawing/2014/main" id="{00000000-0008-0000-0900-00003D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62" name="Text Box 3">
          <a:extLst>
            <a:ext uri="{FF2B5EF4-FFF2-40B4-BE49-F238E27FC236}">
              <a16:creationId xmlns:a16="http://schemas.microsoft.com/office/drawing/2014/main" id="{00000000-0008-0000-0900-00003E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7</xdr:row>
      <xdr:rowOff>0</xdr:rowOff>
    </xdr:from>
    <xdr:to>
      <xdr:col>2</xdr:col>
      <xdr:colOff>400050</xdr:colOff>
      <xdr:row>7</xdr:row>
      <xdr:rowOff>47625</xdr:rowOff>
    </xdr:to>
    <xdr:sp macro="" textlink="">
      <xdr:nvSpPr>
        <xdr:cNvPr id="63" name="Text Box 3">
          <a:extLst>
            <a:ext uri="{FF2B5EF4-FFF2-40B4-BE49-F238E27FC236}">
              <a16:creationId xmlns:a16="http://schemas.microsoft.com/office/drawing/2014/main" id="{00000000-0008-0000-0900-00003F000000}"/>
            </a:ext>
          </a:extLst>
        </xdr:cNvPr>
        <xdr:cNvSpPr txBox="1">
          <a:spLocks noChangeArrowheads="1"/>
        </xdr:cNvSpPr>
      </xdr:nvSpPr>
      <xdr:spPr>
        <a:xfrm>
          <a:off x="1447800"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7</xdr:row>
      <xdr:rowOff>0</xdr:rowOff>
    </xdr:from>
    <xdr:to>
      <xdr:col>2</xdr:col>
      <xdr:colOff>457200</xdr:colOff>
      <xdr:row>7</xdr:row>
      <xdr:rowOff>9525</xdr:rowOff>
    </xdr:to>
    <xdr:sp macro="" textlink="">
      <xdr:nvSpPr>
        <xdr:cNvPr id="64" name="Text Box 3">
          <a:extLst>
            <a:ext uri="{FF2B5EF4-FFF2-40B4-BE49-F238E27FC236}">
              <a16:creationId xmlns:a16="http://schemas.microsoft.com/office/drawing/2014/main" id="{00000000-0008-0000-0900-000040000000}"/>
            </a:ext>
          </a:extLst>
        </xdr:cNvPr>
        <xdr:cNvSpPr txBox="1">
          <a:spLocks noChangeArrowheads="1"/>
        </xdr:cNvSpPr>
      </xdr:nvSpPr>
      <xdr:spPr>
        <a:xfrm>
          <a:off x="1504950" y="13430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65" name="Text Box 3">
          <a:extLst>
            <a:ext uri="{FF2B5EF4-FFF2-40B4-BE49-F238E27FC236}">
              <a16:creationId xmlns:a16="http://schemas.microsoft.com/office/drawing/2014/main" id="{00000000-0008-0000-0900-000041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66" name="Text Box 3">
          <a:extLst>
            <a:ext uri="{FF2B5EF4-FFF2-40B4-BE49-F238E27FC236}">
              <a16:creationId xmlns:a16="http://schemas.microsoft.com/office/drawing/2014/main" id="{00000000-0008-0000-0900-000042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7</xdr:row>
      <xdr:rowOff>171450</xdr:rowOff>
    </xdr:to>
    <xdr:sp macro="" textlink="">
      <xdr:nvSpPr>
        <xdr:cNvPr id="67" name="Text Box 3">
          <a:extLst>
            <a:ext uri="{FF2B5EF4-FFF2-40B4-BE49-F238E27FC236}">
              <a16:creationId xmlns:a16="http://schemas.microsoft.com/office/drawing/2014/main" id="{00000000-0008-0000-0900-000043000000}"/>
            </a:ext>
          </a:extLst>
        </xdr:cNvPr>
        <xdr:cNvSpPr txBox="1">
          <a:spLocks noChangeArrowheads="1"/>
        </xdr:cNvSpPr>
      </xdr:nvSpPr>
      <xdr:spPr>
        <a:xfrm>
          <a:off x="1457325" y="13430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68" name="Text Box 3">
          <a:extLst>
            <a:ext uri="{FF2B5EF4-FFF2-40B4-BE49-F238E27FC236}">
              <a16:creationId xmlns:a16="http://schemas.microsoft.com/office/drawing/2014/main" id="{00000000-0008-0000-0900-000044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69" name="Text Box 3">
          <a:extLst>
            <a:ext uri="{FF2B5EF4-FFF2-40B4-BE49-F238E27FC236}">
              <a16:creationId xmlns:a16="http://schemas.microsoft.com/office/drawing/2014/main" id="{00000000-0008-0000-0900-000045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7</xdr:row>
      <xdr:rowOff>171450</xdr:rowOff>
    </xdr:to>
    <xdr:sp macro="" textlink="">
      <xdr:nvSpPr>
        <xdr:cNvPr id="70" name="Text Box 3">
          <a:extLst>
            <a:ext uri="{FF2B5EF4-FFF2-40B4-BE49-F238E27FC236}">
              <a16:creationId xmlns:a16="http://schemas.microsoft.com/office/drawing/2014/main" id="{00000000-0008-0000-0900-000046000000}"/>
            </a:ext>
          </a:extLst>
        </xdr:cNvPr>
        <xdr:cNvSpPr txBox="1">
          <a:spLocks noChangeArrowheads="1"/>
        </xdr:cNvSpPr>
      </xdr:nvSpPr>
      <xdr:spPr>
        <a:xfrm>
          <a:off x="1457325" y="13430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71" name="Text Box 3">
          <a:extLst>
            <a:ext uri="{FF2B5EF4-FFF2-40B4-BE49-F238E27FC236}">
              <a16:creationId xmlns:a16="http://schemas.microsoft.com/office/drawing/2014/main" id="{00000000-0008-0000-0900-000047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72" name="Text Box 3">
          <a:extLst>
            <a:ext uri="{FF2B5EF4-FFF2-40B4-BE49-F238E27FC236}">
              <a16:creationId xmlns:a16="http://schemas.microsoft.com/office/drawing/2014/main" id="{00000000-0008-0000-0900-000048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7</xdr:row>
      <xdr:rowOff>171450</xdr:rowOff>
    </xdr:to>
    <xdr:sp macro="" textlink="">
      <xdr:nvSpPr>
        <xdr:cNvPr id="73" name="Text Box 3">
          <a:extLst>
            <a:ext uri="{FF2B5EF4-FFF2-40B4-BE49-F238E27FC236}">
              <a16:creationId xmlns:a16="http://schemas.microsoft.com/office/drawing/2014/main" id="{00000000-0008-0000-0900-000049000000}"/>
            </a:ext>
          </a:extLst>
        </xdr:cNvPr>
        <xdr:cNvSpPr txBox="1">
          <a:spLocks noChangeArrowheads="1"/>
        </xdr:cNvSpPr>
      </xdr:nvSpPr>
      <xdr:spPr>
        <a:xfrm>
          <a:off x="1457325" y="13430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74" name="Text Box 3">
          <a:extLst>
            <a:ext uri="{FF2B5EF4-FFF2-40B4-BE49-F238E27FC236}">
              <a16:creationId xmlns:a16="http://schemas.microsoft.com/office/drawing/2014/main" id="{00000000-0008-0000-0900-00004A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75" name="Text Box 3">
          <a:extLst>
            <a:ext uri="{FF2B5EF4-FFF2-40B4-BE49-F238E27FC236}">
              <a16:creationId xmlns:a16="http://schemas.microsoft.com/office/drawing/2014/main" id="{00000000-0008-0000-0900-00004B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76" name="Text Box 3">
          <a:extLst>
            <a:ext uri="{FF2B5EF4-FFF2-40B4-BE49-F238E27FC236}">
              <a16:creationId xmlns:a16="http://schemas.microsoft.com/office/drawing/2014/main" id="{00000000-0008-0000-0900-00004C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77" name="Text Box 3">
          <a:extLst>
            <a:ext uri="{FF2B5EF4-FFF2-40B4-BE49-F238E27FC236}">
              <a16:creationId xmlns:a16="http://schemas.microsoft.com/office/drawing/2014/main" id="{00000000-0008-0000-0900-00004D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361950</xdr:colOff>
      <xdr:row>7</xdr:row>
      <xdr:rowOff>171450</xdr:rowOff>
    </xdr:to>
    <xdr:sp macro="" textlink="">
      <xdr:nvSpPr>
        <xdr:cNvPr id="78" name="Text Box 3">
          <a:extLst>
            <a:ext uri="{FF2B5EF4-FFF2-40B4-BE49-F238E27FC236}">
              <a16:creationId xmlns:a16="http://schemas.microsoft.com/office/drawing/2014/main" id="{00000000-0008-0000-0900-00004E000000}"/>
            </a:ext>
          </a:extLst>
        </xdr:cNvPr>
        <xdr:cNvSpPr txBox="1">
          <a:spLocks noChangeArrowheads="1"/>
        </xdr:cNvSpPr>
      </xdr:nvSpPr>
      <xdr:spPr>
        <a:xfrm>
          <a:off x="1457325" y="13430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79" name="Text Box 3">
          <a:extLst>
            <a:ext uri="{FF2B5EF4-FFF2-40B4-BE49-F238E27FC236}">
              <a16:creationId xmlns:a16="http://schemas.microsoft.com/office/drawing/2014/main" id="{00000000-0008-0000-0900-00004F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80" name="Text Box 3">
          <a:extLst>
            <a:ext uri="{FF2B5EF4-FFF2-40B4-BE49-F238E27FC236}">
              <a16:creationId xmlns:a16="http://schemas.microsoft.com/office/drawing/2014/main" id="{00000000-0008-0000-0900-000050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81" name="Text Box 3">
          <a:extLst>
            <a:ext uri="{FF2B5EF4-FFF2-40B4-BE49-F238E27FC236}">
              <a16:creationId xmlns:a16="http://schemas.microsoft.com/office/drawing/2014/main" id="{00000000-0008-0000-0900-000051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82" name="Text Box 3">
          <a:extLst>
            <a:ext uri="{FF2B5EF4-FFF2-40B4-BE49-F238E27FC236}">
              <a16:creationId xmlns:a16="http://schemas.microsoft.com/office/drawing/2014/main" id="{00000000-0008-0000-0900-000052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83" name="Text Box 3">
          <a:extLst>
            <a:ext uri="{FF2B5EF4-FFF2-40B4-BE49-F238E27FC236}">
              <a16:creationId xmlns:a16="http://schemas.microsoft.com/office/drawing/2014/main" id="{00000000-0008-0000-0900-000053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7</xdr:row>
      <xdr:rowOff>0</xdr:rowOff>
    </xdr:from>
    <xdr:to>
      <xdr:col>2</xdr:col>
      <xdr:colOff>409575</xdr:colOff>
      <xdr:row>7</xdr:row>
      <xdr:rowOff>47625</xdr:rowOff>
    </xdr:to>
    <xdr:sp macro="" textlink="">
      <xdr:nvSpPr>
        <xdr:cNvPr id="84" name="Text Box 3">
          <a:extLst>
            <a:ext uri="{FF2B5EF4-FFF2-40B4-BE49-F238E27FC236}">
              <a16:creationId xmlns:a16="http://schemas.microsoft.com/office/drawing/2014/main" id="{00000000-0008-0000-0900-000054000000}"/>
            </a:ext>
          </a:extLst>
        </xdr:cNvPr>
        <xdr:cNvSpPr txBox="1">
          <a:spLocks noChangeArrowheads="1"/>
        </xdr:cNvSpPr>
      </xdr:nvSpPr>
      <xdr:spPr>
        <a:xfrm>
          <a:off x="1457325" y="13430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7</xdr:row>
      <xdr:rowOff>0</xdr:rowOff>
    </xdr:from>
    <xdr:to>
      <xdr:col>2</xdr:col>
      <xdr:colOff>476250</xdr:colOff>
      <xdr:row>7</xdr:row>
      <xdr:rowOff>9525</xdr:rowOff>
    </xdr:to>
    <xdr:sp macro="" textlink="">
      <xdr:nvSpPr>
        <xdr:cNvPr id="85" name="Text Box 3">
          <a:extLst>
            <a:ext uri="{FF2B5EF4-FFF2-40B4-BE49-F238E27FC236}">
              <a16:creationId xmlns:a16="http://schemas.microsoft.com/office/drawing/2014/main" id="{00000000-0008-0000-0900-000055000000}"/>
            </a:ext>
          </a:extLst>
        </xdr:cNvPr>
        <xdr:cNvSpPr txBox="1">
          <a:spLocks noChangeArrowheads="1"/>
        </xdr:cNvSpPr>
      </xdr:nvSpPr>
      <xdr:spPr>
        <a:xfrm>
          <a:off x="1514475" y="13430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86" name="Text Box 3">
          <a:extLst>
            <a:ext uri="{FF2B5EF4-FFF2-40B4-BE49-F238E27FC236}">
              <a16:creationId xmlns:a16="http://schemas.microsoft.com/office/drawing/2014/main" id="{00000000-0008-0000-0900-000056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87" name="Text Box 3">
          <a:extLst>
            <a:ext uri="{FF2B5EF4-FFF2-40B4-BE49-F238E27FC236}">
              <a16:creationId xmlns:a16="http://schemas.microsoft.com/office/drawing/2014/main" id="{00000000-0008-0000-0900-000057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6</xdr:row>
      <xdr:rowOff>9525</xdr:rowOff>
    </xdr:to>
    <xdr:sp macro="" textlink="">
      <xdr:nvSpPr>
        <xdr:cNvPr id="88" name="Text Box 3">
          <a:extLst>
            <a:ext uri="{FF2B5EF4-FFF2-40B4-BE49-F238E27FC236}">
              <a16:creationId xmlns:a16="http://schemas.microsoft.com/office/drawing/2014/main" id="{00000000-0008-0000-0900-000058000000}"/>
            </a:ext>
          </a:extLst>
        </xdr:cNvPr>
        <xdr:cNvSpPr txBox="1">
          <a:spLocks noChangeArrowheads="1"/>
        </xdr:cNvSpPr>
      </xdr:nvSpPr>
      <xdr:spPr>
        <a:xfrm>
          <a:off x="1447800" y="762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89" name="Text Box 3">
          <a:extLst>
            <a:ext uri="{FF2B5EF4-FFF2-40B4-BE49-F238E27FC236}">
              <a16:creationId xmlns:a16="http://schemas.microsoft.com/office/drawing/2014/main" id="{00000000-0008-0000-0900-000059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90" name="Text Box 3">
          <a:extLst>
            <a:ext uri="{FF2B5EF4-FFF2-40B4-BE49-F238E27FC236}">
              <a16:creationId xmlns:a16="http://schemas.microsoft.com/office/drawing/2014/main" id="{00000000-0008-0000-0900-00005A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6</xdr:row>
      <xdr:rowOff>9525</xdr:rowOff>
    </xdr:to>
    <xdr:sp macro="" textlink="">
      <xdr:nvSpPr>
        <xdr:cNvPr id="91" name="Text Box 3">
          <a:extLst>
            <a:ext uri="{FF2B5EF4-FFF2-40B4-BE49-F238E27FC236}">
              <a16:creationId xmlns:a16="http://schemas.microsoft.com/office/drawing/2014/main" id="{00000000-0008-0000-0900-00005B000000}"/>
            </a:ext>
          </a:extLst>
        </xdr:cNvPr>
        <xdr:cNvSpPr txBox="1">
          <a:spLocks noChangeArrowheads="1"/>
        </xdr:cNvSpPr>
      </xdr:nvSpPr>
      <xdr:spPr>
        <a:xfrm>
          <a:off x="1447800" y="762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92" name="Text Box 3">
          <a:extLst>
            <a:ext uri="{FF2B5EF4-FFF2-40B4-BE49-F238E27FC236}">
              <a16:creationId xmlns:a16="http://schemas.microsoft.com/office/drawing/2014/main" id="{00000000-0008-0000-0900-00005C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93" name="Text Box 3">
          <a:extLst>
            <a:ext uri="{FF2B5EF4-FFF2-40B4-BE49-F238E27FC236}">
              <a16:creationId xmlns:a16="http://schemas.microsoft.com/office/drawing/2014/main" id="{00000000-0008-0000-0900-00005D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6</xdr:row>
      <xdr:rowOff>9525</xdr:rowOff>
    </xdr:to>
    <xdr:sp macro="" textlink="">
      <xdr:nvSpPr>
        <xdr:cNvPr id="94" name="Text Box 3">
          <a:extLst>
            <a:ext uri="{FF2B5EF4-FFF2-40B4-BE49-F238E27FC236}">
              <a16:creationId xmlns:a16="http://schemas.microsoft.com/office/drawing/2014/main" id="{00000000-0008-0000-0900-00005E000000}"/>
            </a:ext>
          </a:extLst>
        </xdr:cNvPr>
        <xdr:cNvSpPr txBox="1">
          <a:spLocks noChangeArrowheads="1"/>
        </xdr:cNvSpPr>
      </xdr:nvSpPr>
      <xdr:spPr>
        <a:xfrm>
          <a:off x="1447800" y="762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95" name="Text Box 3">
          <a:extLst>
            <a:ext uri="{FF2B5EF4-FFF2-40B4-BE49-F238E27FC236}">
              <a16:creationId xmlns:a16="http://schemas.microsoft.com/office/drawing/2014/main" id="{00000000-0008-0000-0900-00005F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96" name="Text Box 3">
          <a:extLst>
            <a:ext uri="{FF2B5EF4-FFF2-40B4-BE49-F238E27FC236}">
              <a16:creationId xmlns:a16="http://schemas.microsoft.com/office/drawing/2014/main" id="{00000000-0008-0000-0900-000060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97" name="Text Box 3">
          <a:extLst>
            <a:ext uri="{FF2B5EF4-FFF2-40B4-BE49-F238E27FC236}">
              <a16:creationId xmlns:a16="http://schemas.microsoft.com/office/drawing/2014/main" id="{00000000-0008-0000-0900-000061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98" name="Text Box 3">
          <a:extLst>
            <a:ext uri="{FF2B5EF4-FFF2-40B4-BE49-F238E27FC236}">
              <a16:creationId xmlns:a16="http://schemas.microsoft.com/office/drawing/2014/main" id="{00000000-0008-0000-0900-000062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6</xdr:row>
      <xdr:rowOff>9525</xdr:rowOff>
    </xdr:to>
    <xdr:sp macro="" textlink="">
      <xdr:nvSpPr>
        <xdr:cNvPr id="99" name="Text Box 3">
          <a:extLst>
            <a:ext uri="{FF2B5EF4-FFF2-40B4-BE49-F238E27FC236}">
              <a16:creationId xmlns:a16="http://schemas.microsoft.com/office/drawing/2014/main" id="{00000000-0008-0000-0900-000063000000}"/>
            </a:ext>
          </a:extLst>
        </xdr:cNvPr>
        <xdr:cNvSpPr txBox="1">
          <a:spLocks noChangeArrowheads="1"/>
        </xdr:cNvSpPr>
      </xdr:nvSpPr>
      <xdr:spPr>
        <a:xfrm>
          <a:off x="1447800" y="76200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00" name="Text Box 3">
          <a:extLst>
            <a:ext uri="{FF2B5EF4-FFF2-40B4-BE49-F238E27FC236}">
              <a16:creationId xmlns:a16="http://schemas.microsoft.com/office/drawing/2014/main" id="{00000000-0008-0000-0900-000064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01" name="Text Box 3">
          <a:extLst>
            <a:ext uri="{FF2B5EF4-FFF2-40B4-BE49-F238E27FC236}">
              <a16:creationId xmlns:a16="http://schemas.microsoft.com/office/drawing/2014/main" id="{00000000-0008-0000-0900-000065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02" name="Text Box 3">
          <a:extLst>
            <a:ext uri="{FF2B5EF4-FFF2-40B4-BE49-F238E27FC236}">
              <a16:creationId xmlns:a16="http://schemas.microsoft.com/office/drawing/2014/main" id="{00000000-0008-0000-0900-000066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03" name="Text Box 3">
          <a:extLst>
            <a:ext uri="{FF2B5EF4-FFF2-40B4-BE49-F238E27FC236}">
              <a16:creationId xmlns:a16="http://schemas.microsoft.com/office/drawing/2014/main" id="{00000000-0008-0000-0900-000067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04" name="Text Box 3">
          <a:extLst>
            <a:ext uri="{FF2B5EF4-FFF2-40B4-BE49-F238E27FC236}">
              <a16:creationId xmlns:a16="http://schemas.microsoft.com/office/drawing/2014/main" id="{00000000-0008-0000-0900-000068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05" name="Text Box 3">
          <a:extLst>
            <a:ext uri="{FF2B5EF4-FFF2-40B4-BE49-F238E27FC236}">
              <a16:creationId xmlns:a16="http://schemas.microsoft.com/office/drawing/2014/main" id="{00000000-0008-0000-0900-000069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06" name="Text Box 3">
          <a:extLst>
            <a:ext uri="{FF2B5EF4-FFF2-40B4-BE49-F238E27FC236}">
              <a16:creationId xmlns:a16="http://schemas.microsoft.com/office/drawing/2014/main" id="{00000000-0008-0000-0900-00006A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07" name="Text Box 3">
          <a:extLst>
            <a:ext uri="{FF2B5EF4-FFF2-40B4-BE49-F238E27FC236}">
              <a16:creationId xmlns:a16="http://schemas.microsoft.com/office/drawing/2014/main" id="{00000000-0008-0000-0900-00006B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08" name="Text Box 3">
          <a:extLst>
            <a:ext uri="{FF2B5EF4-FFF2-40B4-BE49-F238E27FC236}">
              <a16:creationId xmlns:a16="http://schemas.microsoft.com/office/drawing/2014/main" id="{00000000-0008-0000-0900-00006C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6</xdr:row>
      <xdr:rowOff>9525</xdr:rowOff>
    </xdr:to>
    <xdr:sp macro="" textlink="">
      <xdr:nvSpPr>
        <xdr:cNvPr id="109" name="Text Box 3">
          <a:extLst>
            <a:ext uri="{FF2B5EF4-FFF2-40B4-BE49-F238E27FC236}">
              <a16:creationId xmlns:a16="http://schemas.microsoft.com/office/drawing/2014/main" id="{00000000-0008-0000-0900-00006D000000}"/>
            </a:ext>
          </a:extLst>
        </xdr:cNvPr>
        <xdr:cNvSpPr txBox="1">
          <a:spLocks noChangeArrowheads="1"/>
        </xdr:cNvSpPr>
      </xdr:nvSpPr>
      <xdr:spPr>
        <a:xfrm>
          <a:off x="1457325" y="7620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10" name="Text Box 3">
          <a:extLst>
            <a:ext uri="{FF2B5EF4-FFF2-40B4-BE49-F238E27FC236}">
              <a16:creationId xmlns:a16="http://schemas.microsoft.com/office/drawing/2014/main" id="{00000000-0008-0000-0900-00006E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11" name="Text Box 3">
          <a:extLst>
            <a:ext uri="{FF2B5EF4-FFF2-40B4-BE49-F238E27FC236}">
              <a16:creationId xmlns:a16="http://schemas.microsoft.com/office/drawing/2014/main" id="{00000000-0008-0000-0900-00006F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6</xdr:row>
      <xdr:rowOff>9525</xdr:rowOff>
    </xdr:to>
    <xdr:sp macro="" textlink="">
      <xdr:nvSpPr>
        <xdr:cNvPr id="112" name="Text Box 3">
          <a:extLst>
            <a:ext uri="{FF2B5EF4-FFF2-40B4-BE49-F238E27FC236}">
              <a16:creationId xmlns:a16="http://schemas.microsoft.com/office/drawing/2014/main" id="{00000000-0008-0000-0900-000070000000}"/>
            </a:ext>
          </a:extLst>
        </xdr:cNvPr>
        <xdr:cNvSpPr txBox="1">
          <a:spLocks noChangeArrowheads="1"/>
        </xdr:cNvSpPr>
      </xdr:nvSpPr>
      <xdr:spPr>
        <a:xfrm>
          <a:off x="1457325" y="7620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13" name="Text Box 3">
          <a:extLst>
            <a:ext uri="{FF2B5EF4-FFF2-40B4-BE49-F238E27FC236}">
              <a16:creationId xmlns:a16="http://schemas.microsoft.com/office/drawing/2014/main" id="{00000000-0008-0000-0900-000071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14" name="Text Box 3">
          <a:extLst>
            <a:ext uri="{FF2B5EF4-FFF2-40B4-BE49-F238E27FC236}">
              <a16:creationId xmlns:a16="http://schemas.microsoft.com/office/drawing/2014/main" id="{00000000-0008-0000-0900-000072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6</xdr:row>
      <xdr:rowOff>9525</xdr:rowOff>
    </xdr:to>
    <xdr:sp macro="" textlink="">
      <xdr:nvSpPr>
        <xdr:cNvPr id="115" name="Text Box 3">
          <a:extLst>
            <a:ext uri="{FF2B5EF4-FFF2-40B4-BE49-F238E27FC236}">
              <a16:creationId xmlns:a16="http://schemas.microsoft.com/office/drawing/2014/main" id="{00000000-0008-0000-0900-000073000000}"/>
            </a:ext>
          </a:extLst>
        </xdr:cNvPr>
        <xdr:cNvSpPr txBox="1">
          <a:spLocks noChangeArrowheads="1"/>
        </xdr:cNvSpPr>
      </xdr:nvSpPr>
      <xdr:spPr>
        <a:xfrm>
          <a:off x="1457325" y="7620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16" name="Text Box 3">
          <a:extLst>
            <a:ext uri="{FF2B5EF4-FFF2-40B4-BE49-F238E27FC236}">
              <a16:creationId xmlns:a16="http://schemas.microsoft.com/office/drawing/2014/main" id="{00000000-0008-0000-0900-000074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17" name="Text Box 3">
          <a:extLst>
            <a:ext uri="{FF2B5EF4-FFF2-40B4-BE49-F238E27FC236}">
              <a16:creationId xmlns:a16="http://schemas.microsoft.com/office/drawing/2014/main" id="{00000000-0008-0000-0900-000075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18" name="Text Box 3">
          <a:extLst>
            <a:ext uri="{FF2B5EF4-FFF2-40B4-BE49-F238E27FC236}">
              <a16:creationId xmlns:a16="http://schemas.microsoft.com/office/drawing/2014/main" id="{00000000-0008-0000-0900-000076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19" name="Text Box 3">
          <a:extLst>
            <a:ext uri="{FF2B5EF4-FFF2-40B4-BE49-F238E27FC236}">
              <a16:creationId xmlns:a16="http://schemas.microsoft.com/office/drawing/2014/main" id="{00000000-0008-0000-0900-000077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6</xdr:row>
      <xdr:rowOff>9525</xdr:rowOff>
    </xdr:to>
    <xdr:sp macro="" textlink="">
      <xdr:nvSpPr>
        <xdr:cNvPr id="120" name="Text Box 3">
          <a:extLst>
            <a:ext uri="{FF2B5EF4-FFF2-40B4-BE49-F238E27FC236}">
              <a16:creationId xmlns:a16="http://schemas.microsoft.com/office/drawing/2014/main" id="{00000000-0008-0000-0900-000078000000}"/>
            </a:ext>
          </a:extLst>
        </xdr:cNvPr>
        <xdr:cNvSpPr txBox="1">
          <a:spLocks noChangeArrowheads="1"/>
        </xdr:cNvSpPr>
      </xdr:nvSpPr>
      <xdr:spPr>
        <a:xfrm>
          <a:off x="1457325" y="76200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21" name="Text Box 3">
          <a:extLst>
            <a:ext uri="{FF2B5EF4-FFF2-40B4-BE49-F238E27FC236}">
              <a16:creationId xmlns:a16="http://schemas.microsoft.com/office/drawing/2014/main" id="{00000000-0008-0000-0900-000079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22" name="Text Box 3">
          <a:extLst>
            <a:ext uri="{FF2B5EF4-FFF2-40B4-BE49-F238E27FC236}">
              <a16:creationId xmlns:a16="http://schemas.microsoft.com/office/drawing/2014/main" id="{00000000-0008-0000-0900-00007A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23" name="Text Box 3">
          <a:extLst>
            <a:ext uri="{FF2B5EF4-FFF2-40B4-BE49-F238E27FC236}">
              <a16:creationId xmlns:a16="http://schemas.microsoft.com/office/drawing/2014/main" id="{00000000-0008-0000-0900-00007B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24" name="Text Box 3">
          <a:extLst>
            <a:ext uri="{FF2B5EF4-FFF2-40B4-BE49-F238E27FC236}">
              <a16:creationId xmlns:a16="http://schemas.microsoft.com/office/drawing/2014/main" id="{00000000-0008-0000-0900-00007C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25" name="Text Box 3">
          <a:extLst>
            <a:ext uri="{FF2B5EF4-FFF2-40B4-BE49-F238E27FC236}">
              <a16:creationId xmlns:a16="http://schemas.microsoft.com/office/drawing/2014/main" id="{00000000-0008-0000-0900-00007D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26" name="Text Box 3">
          <a:extLst>
            <a:ext uri="{FF2B5EF4-FFF2-40B4-BE49-F238E27FC236}">
              <a16:creationId xmlns:a16="http://schemas.microsoft.com/office/drawing/2014/main" id="{00000000-0008-0000-0900-00007E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27" name="Text Box 3">
          <a:extLst>
            <a:ext uri="{FF2B5EF4-FFF2-40B4-BE49-F238E27FC236}">
              <a16:creationId xmlns:a16="http://schemas.microsoft.com/office/drawing/2014/main" id="{00000000-0008-0000-0900-00007F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28" name="Text Box 3">
          <a:extLst>
            <a:ext uri="{FF2B5EF4-FFF2-40B4-BE49-F238E27FC236}">
              <a16:creationId xmlns:a16="http://schemas.microsoft.com/office/drawing/2014/main" id="{00000000-0008-0000-0900-000080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29" name="Text Box 3">
          <a:extLst>
            <a:ext uri="{FF2B5EF4-FFF2-40B4-BE49-F238E27FC236}">
              <a16:creationId xmlns:a16="http://schemas.microsoft.com/office/drawing/2014/main" id="{00000000-0008-0000-0900-000081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4</xdr:row>
      <xdr:rowOff>171450</xdr:rowOff>
    </xdr:to>
    <xdr:sp macro="" textlink="">
      <xdr:nvSpPr>
        <xdr:cNvPr id="130" name="Text Box 3">
          <a:extLst>
            <a:ext uri="{FF2B5EF4-FFF2-40B4-BE49-F238E27FC236}">
              <a16:creationId xmlns:a16="http://schemas.microsoft.com/office/drawing/2014/main" id="{00000000-0008-0000-0900-000082000000}"/>
            </a:ext>
          </a:extLst>
        </xdr:cNvPr>
        <xdr:cNvSpPr txBox="1">
          <a:spLocks noChangeArrowheads="1"/>
        </xdr:cNvSpPr>
      </xdr:nvSpPr>
      <xdr:spPr>
        <a:xfrm>
          <a:off x="1447800" y="762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31" name="Text Box 3">
          <a:extLst>
            <a:ext uri="{FF2B5EF4-FFF2-40B4-BE49-F238E27FC236}">
              <a16:creationId xmlns:a16="http://schemas.microsoft.com/office/drawing/2014/main" id="{00000000-0008-0000-0900-000083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32" name="Text Box 3">
          <a:extLst>
            <a:ext uri="{FF2B5EF4-FFF2-40B4-BE49-F238E27FC236}">
              <a16:creationId xmlns:a16="http://schemas.microsoft.com/office/drawing/2014/main" id="{00000000-0008-0000-0900-000084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4</xdr:row>
      <xdr:rowOff>171450</xdr:rowOff>
    </xdr:to>
    <xdr:sp macro="" textlink="">
      <xdr:nvSpPr>
        <xdr:cNvPr id="133" name="Text Box 3">
          <a:extLst>
            <a:ext uri="{FF2B5EF4-FFF2-40B4-BE49-F238E27FC236}">
              <a16:creationId xmlns:a16="http://schemas.microsoft.com/office/drawing/2014/main" id="{00000000-0008-0000-0900-000085000000}"/>
            </a:ext>
          </a:extLst>
        </xdr:cNvPr>
        <xdr:cNvSpPr txBox="1">
          <a:spLocks noChangeArrowheads="1"/>
        </xdr:cNvSpPr>
      </xdr:nvSpPr>
      <xdr:spPr>
        <a:xfrm>
          <a:off x="1447800" y="762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34" name="Text Box 3">
          <a:extLst>
            <a:ext uri="{FF2B5EF4-FFF2-40B4-BE49-F238E27FC236}">
              <a16:creationId xmlns:a16="http://schemas.microsoft.com/office/drawing/2014/main" id="{00000000-0008-0000-0900-000086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35" name="Text Box 3">
          <a:extLst>
            <a:ext uri="{FF2B5EF4-FFF2-40B4-BE49-F238E27FC236}">
              <a16:creationId xmlns:a16="http://schemas.microsoft.com/office/drawing/2014/main" id="{00000000-0008-0000-0900-000087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4</xdr:row>
      <xdr:rowOff>171450</xdr:rowOff>
    </xdr:to>
    <xdr:sp macro="" textlink="">
      <xdr:nvSpPr>
        <xdr:cNvPr id="136" name="Text Box 3">
          <a:extLst>
            <a:ext uri="{FF2B5EF4-FFF2-40B4-BE49-F238E27FC236}">
              <a16:creationId xmlns:a16="http://schemas.microsoft.com/office/drawing/2014/main" id="{00000000-0008-0000-0900-000088000000}"/>
            </a:ext>
          </a:extLst>
        </xdr:cNvPr>
        <xdr:cNvSpPr txBox="1">
          <a:spLocks noChangeArrowheads="1"/>
        </xdr:cNvSpPr>
      </xdr:nvSpPr>
      <xdr:spPr>
        <a:xfrm>
          <a:off x="1447800" y="762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37" name="Text Box 3">
          <a:extLst>
            <a:ext uri="{FF2B5EF4-FFF2-40B4-BE49-F238E27FC236}">
              <a16:creationId xmlns:a16="http://schemas.microsoft.com/office/drawing/2014/main" id="{00000000-0008-0000-0900-000089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38" name="Text Box 3">
          <a:extLst>
            <a:ext uri="{FF2B5EF4-FFF2-40B4-BE49-F238E27FC236}">
              <a16:creationId xmlns:a16="http://schemas.microsoft.com/office/drawing/2014/main" id="{00000000-0008-0000-0900-00008A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39" name="Text Box 3">
          <a:extLst>
            <a:ext uri="{FF2B5EF4-FFF2-40B4-BE49-F238E27FC236}">
              <a16:creationId xmlns:a16="http://schemas.microsoft.com/office/drawing/2014/main" id="{00000000-0008-0000-0900-00008B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40" name="Text Box 3">
          <a:extLst>
            <a:ext uri="{FF2B5EF4-FFF2-40B4-BE49-F238E27FC236}">
              <a16:creationId xmlns:a16="http://schemas.microsoft.com/office/drawing/2014/main" id="{00000000-0008-0000-0900-00008C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342900</xdr:colOff>
      <xdr:row>4</xdr:row>
      <xdr:rowOff>171450</xdr:rowOff>
    </xdr:to>
    <xdr:sp macro="" textlink="">
      <xdr:nvSpPr>
        <xdr:cNvPr id="141" name="Text Box 3">
          <a:extLst>
            <a:ext uri="{FF2B5EF4-FFF2-40B4-BE49-F238E27FC236}">
              <a16:creationId xmlns:a16="http://schemas.microsoft.com/office/drawing/2014/main" id="{00000000-0008-0000-0900-00008D000000}"/>
            </a:ext>
          </a:extLst>
        </xdr:cNvPr>
        <xdr:cNvSpPr txBox="1">
          <a:spLocks noChangeArrowheads="1"/>
        </xdr:cNvSpPr>
      </xdr:nvSpPr>
      <xdr:spPr>
        <a:xfrm>
          <a:off x="1447800" y="762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42" name="Text Box 3">
          <a:extLst>
            <a:ext uri="{FF2B5EF4-FFF2-40B4-BE49-F238E27FC236}">
              <a16:creationId xmlns:a16="http://schemas.microsoft.com/office/drawing/2014/main" id="{00000000-0008-0000-0900-00008E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43" name="Text Box 3">
          <a:extLst>
            <a:ext uri="{FF2B5EF4-FFF2-40B4-BE49-F238E27FC236}">
              <a16:creationId xmlns:a16="http://schemas.microsoft.com/office/drawing/2014/main" id="{00000000-0008-0000-0900-00008F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44" name="Text Box 3">
          <a:extLst>
            <a:ext uri="{FF2B5EF4-FFF2-40B4-BE49-F238E27FC236}">
              <a16:creationId xmlns:a16="http://schemas.microsoft.com/office/drawing/2014/main" id="{00000000-0008-0000-0900-000090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45" name="Text Box 3">
          <a:extLst>
            <a:ext uri="{FF2B5EF4-FFF2-40B4-BE49-F238E27FC236}">
              <a16:creationId xmlns:a16="http://schemas.microsoft.com/office/drawing/2014/main" id="{00000000-0008-0000-0900-000091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46" name="Text Box 3">
          <a:extLst>
            <a:ext uri="{FF2B5EF4-FFF2-40B4-BE49-F238E27FC236}">
              <a16:creationId xmlns:a16="http://schemas.microsoft.com/office/drawing/2014/main" id="{00000000-0008-0000-0900-000092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4</xdr:row>
      <xdr:rowOff>0</xdr:rowOff>
    </xdr:from>
    <xdr:to>
      <xdr:col>2</xdr:col>
      <xdr:colOff>400050</xdr:colOff>
      <xdr:row>4</xdr:row>
      <xdr:rowOff>47625</xdr:rowOff>
    </xdr:to>
    <xdr:sp macro="" textlink="">
      <xdr:nvSpPr>
        <xdr:cNvPr id="147" name="Text Box 3">
          <a:extLst>
            <a:ext uri="{FF2B5EF4-FFF2-40B4-BE49-F238E27FC236}">
              <a16:creationId xmlns:a16="http://schemas.microsoft.com/office/drawing/2014/main" id="{00000000-0008-0000-0900-000093000000}"/>
            </a:ext>
          </a:extLst>
        </xdr:cNvPr>
        <xdr:cNvSpPr txBox="1">
          <a:spLocks noChangeArrowheads="1"/>
        </xdr:cNvSpPr>
      </xdr:nvSpPr>
      <xdr:spPr>
        <a:xfrm>
          <a:off x="1447800"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4</xdr:row>
      <xdr:rowOff>0</xdr:rowOff>
    </xdr:from>
    <xdr:to>
      <xdr:col>2</xdr:col>
      <xdr:colOff>457200</xdr:colOff>
      <xdr:row>4</xdr:row>
      <xdr:rowOff>9525</xdr:rowOff>
    </xdr:to>
    <xdr:sp macro="" textlink="">
      <xdr:nvSpPr>
        <xdr:cNvPr id="148" name="Text Box 3">
          <a:extLst>
            <a:ext uri="{FF2B5EF4-FFF2-40B4-BE49-F238E27FC236}">
              <a16:creationId xmlns:a16="http://schemas.microsoft.com/office/drawing/2014/main" id="{00000000-0008-0000-0900-000094000000}"/>
            </a:ext>
          </a:extLst>
        </xdr:cNvPr>
        <xdr:cNvSpPr txBox="1">
          <a:spLocks noChangeArrowheads="1"/>
        </xdr:cNvSpPr>
      </xdr:nvSpPr>
      <xdr:spPr>
        <a:xfrm>
          <a:off x="1504950" y="76200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49" name="Text Box 3">
          <a:extLst>
            <a:ext uri="{FF2B5EF4-FFF2-40B4-BE49-F238E27FC236}">
              <a16:creationId xmlns:a16="http://schemas.microsoft.com/office/drawing/2014/main" id="{00000000-0008-0000-0900-000095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50" name="Text Box 3">
          <a:extLst>
            <a:ext uri="{FF2B5EF4-FFF2-40B4-BE49-F238E27FC236}">
              <a16:creationId xmlns:a16="http://schemas.microsoft.com/office/drawing/2014/main" id="{00000000-0008-0000-0900-000096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4</xdr:row>
      <xdr:rowOff>171450</xdr:rowOff>
    </xdr:to>
    <xdr:sp macro="" textlink="">
      <xdr:nvSpPr>
        <xdr:cNvPr id="151" name="Text Box 3">
          <a:extLst>
            <a:ext uri="{FF2B5EF4-FFF2-40B4-BE49-F238E27FC236}">
              <a16:creationId xmlns:a16="http://schemas.microsoft.com/office/drawing/2014/main" id="{00000000-0008-0000-0900-000097000000}"/>
            </a:ext>
          </a:extLst>
        </xdr:cNvPr>
        <xdr:cNvSpPr txBox="1">
          <a:spLocks noChangeArrowheads="1"/>
        </xdr:cNvSpPr>
      </xdr:nvSpPr>
      <xdr:spPr>
        <a:xfrm>
          <a:off x="1457325" y="7620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52" name="Text Box 3">
          <a:extLst>
            <a:ext uri="{FF2B5EF4-FFF2-40B4-BE49-F238E27FC236}">
              <a16:creationId xmlns:a16="http://schemas.microsoft.com/office/drawing/2014/main" id="{00000000-0008-0000-0900-000098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53" name="Text Box 3">
          <a:extLst>
            <a:ext uri="{FF2B5EF4-FFF2-40B4-BE49-F238E27FC236}">
              <a16:creationId xmlns:a16="http://schemas.microsoft.com/office/drawing/2014/main" id="{00000000-0008-0000-0900-000099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4</xdr:row>
      <xdr:rowOff>171450</xdr:rowOff>
    </xdr:to>
    <xdr:sp macro="" textlink="">
      <xdr:nvSpPr>
        <xdr:cNvPr id="154" name="Text Box 3">
          <a:extLst>
            <a:ext uri="{FF2B5EF4-FFF2-40B4-BE49-F238E27FC236}">
              <a16:creationId xmlns:a16="http://schemas.microsoft.com/office/drawing/2014/main" id="{00000000-0008-0000-0900-00009A000000}"/>
            </a:ext>
          </a:extLst>
        </xdr:cNvPr>
        <xdr:cNvSpPr txBox="1">
          <a:spLocks noChangeArrowheads="1"/>
        </xdr:cNvSpPr>
      </xdr:nvSpPr>
      <xdr:spPr>
        <a:xfrm>
          <a:off x="1457325" y="7620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55" name="Text Box 3">
          <a:extLst>
            <a:ext uri="{FF2B5EF4-FFF2-40B4-BE49-F238E27FC236}">
              <a16:creationId xmlns:a16="http://schemas.microsoft.com/office/drawing/2014/main" id="{00000000-0008-0000-0900-00009B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56" name="Text Box 3">
          <a:extLst>
            <a:ext uri="{FF2B5EF4-FFF2-40B4-BE49-F238E27FC236}">
              <a16:creationId xmlns:a16="http://schemas.microsoft.com/office/drawing/2014/main" id="{00000000-0008-0000-0900-00009C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4</xdr:row>
      <xdr:rowOff>171450</xdr:rowOff>
    </xdr:to>
    <xdr:sp macro="" textlink="">
      <xdr:nvSpPr>
        <xdr:cNvPr id="157" name="Text Box 3">
          <a:extLst>
            <a:ext uri="{FF2B5EF4-FFF2-40B4-BE49-F238E27FC236}">
              <a16:creationId xmlns:a16="http://schemas.microsoft.com/office/drawing/2014/main" id="{00000000-0008-0000-0900-00009D000000}"/>
            </a:ext>
          </a:extLst>
        </xdr:cNvPr>
        <xdr:cNvSpPr txBox="1">
          <a:spLocks noChangeArrowheads="1"/>
        </xdr:cNvSpPr>
      </xdr:nvSpPr>
      <xdr:spPr>
        <a:xfrm>
          <a:off x="1457325" y="7620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58" name="Text Box 3">
          <a:extLst>
            <a:ext uri="{FF2B5EF4-FFF2-40B4-BE49-F238E27FC236}">
              <a16:creationId xmlns:a16="http://schemas.microsoft.com/office/drawing/2014/main" id="{00000000-0008-0000-0900-00009E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59" name="Text Box 3">
          <a:extLst>
            <a:ext uri="{FF2B5EF4-FFF2-40B4-BE49-F238E27FC236}">
              <a16:creationId xmlns:a16="http://schemas.microsoft.com/office/drawing/2014/main" id="{00000000-0008-0000-0900-00009F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60" name="Text Box 3">
          <a:extLst>
            <a:ext uri="{FF2B5EF4-FFF2-40B4-BE49-F238E27FC236}">
              <a16:creationId xmlns:a16="http://schemas.microsoft.com/office/drawing/2014/main" id="{00000000-0008-0000-0900-0000A0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61" name="Text Box 3">
          <a:extLst>
            <a:ext uri="{FF2B5EF4-FFF2-40B4-BE49-F238E27FC236}">
              <a16:creationId xmlns:a16="http://schemas.microsoft.com/office/drawing/2014/main" id="{00000000-0008-0000-0900-0000A1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361950</xdr:colOff>
      <xdr:row>4</xdr:row>
      <xdr:rowOff>171450</xdr:rowOff>
    </xdr:to>
    <xdr:sp macro="" textlink="">
      <xdr:nvSpPr>
        <xdr:cNvPr id="162" name="Text Box 3">
          <a:extLst>
            <a:ext uri="{FF2B5EF4-FFF2-40B4-BE49-F238E27FC236}">
              <a16:creationId xmlns:a16="http://schemas.microsoft.com/office/drawing/2014/main" id="{00000000-0008-0000-0900-0000A2000000}"/>
            </a:ext>
          </a:extLst>
        </xdr:cNvPr>
        <xdr:cNvSpPr txBox="1">
          <a:spLocks noChangeArrowheads="1"/>
        </xdr:cNvSpPr>
      </xdr:nvSpPr>
      <xdr:spPr>
        <a:xfrm>
          <a:off x="1457325" y="76200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63" name="Text Box 3">
          <a:extLst>
            <a:ext uri="{FF2B5EF4-FFF2-40B4-BE49-F238E27FC236}">
              <a16:creationId xmlns:a16="http://schemas.microsoft.com/office/drawing/2014/main" id="{00000000-0008-0000-0900-0000A3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64" name="Text Box 3">
          <a:extLst>
            <a:ext uri="{FF2B5EF4-FFF2-40B4-BE49-F238E27FC236}">
              <a16:creationId xmlns:a16="http://schemas.microsoft.com/office/drawing/2014/main" id="{00000000-0008-0000-0900-0000A4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65" name="Text Box 3">
          <a:extLst>
            <a:ext uri="{FF2B5EF4-FFF2-40B4-BE49-F238E27FC236}">
              <a16:creationId xmlns:a16="http://schemas.microsoft.com/office/drawing/2014/main" id="{00000000-0008-0000-0900-0000A5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66" name="Text Box 3">
          <a:extLst>
            <a:ext uri="{FF2B5EF4-FFF2-40B4-BE49-F238E27FC236}">
              <a16:creationId xmlns:a16="http://schemas.microsoft.com/office/drawing/2014/main" id="{00000000-0008-0000-0900-0000A6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67" name="Text Box 3">
          <a:extLst>
            <a:ext uri="{FF2B5EF4-FFF2-40B4-BE49-F238E27FC236}">
              <a16:creationId xmlns:a16="http://schemas.microsoft.com/office/drawing/2014/main" id="{00000000-0008-0000-0900-0000A7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4</xdr:row>
      <xdr:rowOff>0</xdr:rowOff>
    </xdr:from>
    <xdr:to>
      <xdr:col>2</xdr:col>
      <xdr:colOff>409575</xdr:colOff>
      <xdr:row>4</xdr:row>
      <xdr:rowOff>47625</xdr:rowOff>
    </xdr:to>
    <xdr:sp macro="" textlink="">
      <xdr:nvSpPr>
        <xdr:cNvPr id="168" name="Text Box 3">
          <a:extLst>
            <a:ext uri="{FF2B5EF4-FFF2-40B4-BE49-F238E27FC236}">
              <a16:creationId xmlns:a16="http://schemas.microsoft.com/office/drawing/2014/main" id="{00000000-0008-0000-0900-0000A8000000}"/>
            </a:ext>
          </a:extLst>
        </xdr:cNvPr>
        <xdr:cNvSpPr txBox="1">
          <a:spLocks noChangeArrowheads="1"/>
        </xdr:cNvSpPr>
      </xdr:nvSpPr>
      <xdr:spPr>
        <a:xfrm>
          <a:off x="1457325" y="76200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4</xdr:row>
      <xdr:rowOff>0</xdr:rowOff>
    </xdr:from>
    <xdr:to>
      <xdr:col>2</xdr:col>
      <xdr:colOff>476250</xdr:colOff>
      <xdr:row>4</xdr:row>
      <xdr:rowOff>9525</xdr:rowOff>
    </xdr:to>
    <xdr:sp macro="" textlink="">
      <xdr:nvSpPr>
        <xdr:cNvPr id="169" name="Text Box 3">
          <a:extLst>
            <a:ext uri="{FF2B5EF4-FFF2-40B4-BE49-F238E27FC236}">
              <a16:creationId xmlns:a16="http://schemas.microsoft.com/office/drawing/2014/main" id="{00000000-0008-0000-0900-0000A9000000}"/>
            </a:ext>
          </a:extLst>
        </xdr:cNvPr>
        <xdr:cNvSpPr txBox="1">
          <a:spLocks noChangeArrowheads="1"/>
        </xdr:cNvSpPr>
      </xdr:nvSpPr>
      <xdr:spPr>
        <a:xfrm>
          <a:off x="1514475" y="76200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70" name="Text Box 3">
          <a:extLst>
            <a:ext uri="{FF2B5EF4-FFF2-40B4-BE49-F238E27FC236}">
              <a16:creationId xmlns:a16="http://schemas.microsoft.com/office/drawing/2014/main" id="{00000000-0008-0000-0900-0000AA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71" name="Text Box 3">
          <a:extLst>
            <a:ext uri="{FF2B5EF4-FFF2-40B4-BE49-F238E27FC236}">
              <a16:creationId xmlns:a16="http://schemas.microsoft.com/office/drawing/2014/main" id="{00000000-0008-0000-0900-0000AB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57</xdr:row>
      <xdr:rowOff>0</xdr:rowOff>
    </xdr:to>
    <xdr:sp macro="" textlink="">
      <xdr:nvSpPr>
        <xdr:cNvPr id="172" name="Text Box 3">
          <a:extLst>
            <a:ext uri="{FF2B5EF4-FFF2-40B4-BE49-F238E27FC236}">
              <a16:creationId xmlns:a16="http://schemas.microsoft.com/office/drawing/2014/main" id="{00000000-0008-0000-0900-0000AC000000}"/>
            </a:ext>
          </a:extLst>
        </xdr:cNvPr>
        <xdr:cNvSpPr txBox="1">
          <a:spLocks noChangeArrowheads="1"/>
        </xdr:cNvSpPr>
      </xdr:nvSpPr>
      <xdr:spPr>
        <a:xfrm>
          <a:off x="1447800" y="13554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73" name="Text Box 3">
          <a:extLst>
            <a:ext uri="{FF2B5EF4-FFF2-40B4-BE49-F238E27FC236}">
              <a16:creationId xmlns:a16="http://schemas.microsoft.com/office/drawing/2014/main" id="{00000000-0008-0000-0900-0000AD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74" name="Text Box 3">
          <a:extLst>
            <a:ext uri="{FF2B5EF4-FFF2-40B4-BE49-F238E27FC236}">
              <a16:creationId xmlns:a16="http://schemas.microsoft.com/office/drawing/2014/main" id="{00000000-0008-0000-0900-0000AE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57</xdr:row>
      <xdr:rowOff>0</xdr:rowOff>
    </xdr:to>
    <xdr:sp macro="" textlink="">
      <xdr:nvSpPr>
        <xdr:cNvPr id="175" name="Text Box 3">
          <a:extLst>
            <a:ext uri="{FF2B5EF4-FFF2-40B4-BE49-F238E27FC236}">
              <a16:creationId xmlns:a16="http://schemas.microsoft.com/office/drawing/2014/main" id="{00000000-0008-0000-0900-0000AF000000}"/>
            </a:ext>
          </a:extLst>
        </xdr:cNvPr>
        <xdr:cNvSpPr txBox="1">
          <a:spLocks noChangeArrowheads="1"/>
        </xdr:cNvSpPr>
      </xdr:nvSpPr>
      <xdr:spPr>
        <a:xfrm>
          <a:off x="1447800" y="13554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76" name="Text Box 3">
          <a:extLst>
            <a:ext uri="{FF2B5EF4-FFF2-40B4-BE49-F238E27FC236}">
              <a16:creationId xmlns:a16="http://schemas.microsoft.com/office/drawing/2014/main" id="{00000000-0008-0000-0900-0000B0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77" name="Text Box 3">
          <a:extLst>
            <a:ext uri="{FF2B5EF4-FFF2-40B4-BE49-F238E27FC236}">
              <a16:creationId xmlns:a16="http://schemas.microsoft.com/office/drawing/2014/main" id="{00000000-0008-0000-0900-0000B1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57</xdr:row>
      <xdr:rowOff>0</xdr:rowOff>
    </xdr:to>
    <xdr:sp macro="" textlink="">
      <xdr:nvSpPr>
        <xdr:cNvPr id="178" name="Text Box 3">
          <a:extLst>
            <a:ext uri="{FF2B5EF4-FFF2-40B4-BE49-F238E27FC236}">
              <a16:creationId xmlns:a16="http://schemas.microsoft.com/office/drawing/2014/main" id="{00000000-0008-0000-0900-0000B2000000}"/>
            </a:ext>
          </a:extLst>
        </xdr:cNvPr>
        <xdr:cNvSpPr txBox="1">
          <a:spLocks noChangeArrowheads="1"/>
        </xdr:cNvSpPr>
      </xdr:nvSpPr>
      <xdr:spPr>
        <a:xfrm>
          <a:off x="1447800" y="13554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79" name="Text Box 3">
          <a:extLst>
            <a:ext uri="{FF2B5EF4-FFF2-40B4-BE49-F238E27FC236}">
              <a16:creationId xmlns:a16="http://schemas.microsoft.com/office/drawing/2014/main" id="{00000000-0008-0000-0900-0000B3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80" name="Text Box 3">
          <a:extLst>
            <a:ext uri="{FF2B5EF4-FFF2-40B4-BE49-F238E27FC236}">
              <a16:creationId xmlns:a16="http://schemas.microsoft.com/office/drawing/2014/main" id="{00000000-0008-0000-0900-0000B4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81" name="Text Box 3">
          <a:extLst>
            <a:ext uri="{FF2B5EF4-FFF2-40B4-BE49-F238E27FC236}">
              <a16:creationId xmlns:a16="http://schemas.microsoft.com/office/drawing/2014/main" id="{00000000-0008-0000-0900-0000B5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82" name="Text Box 3">
          <a:extLst>
            <a:ext uri="{FF2B5EF4-FFF2-40B4-BE49-F238E27FC236}">
              <a16:creationId xmlns:a16="http://schemas.microsoft.com/office/drawing/2014/main" id="{00000000-0008-0000-0900-0000B6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57</xdr:row>
      <xdr:rowOff>0</xdr:rowOff>
    </xdr:to>
    <xdr:sp macro="" textlink="">
      <xdr:nvSpPr>
        <xdr:cNvPr id="183" name="Text Box 3">
          <a:extLst>
            <a:ext uri="{FF2B5EF4-FFF2-40B4-BE49-F238E27FC236}">
              <a16:creationId xmlns:a16="http://schemas.microsoft.com/office/drawing/2014/main" id="{00000000-0008-0000-0900-0000B7000000}"/>
            </a:ext>
          </a:extLst>
        </xdr:cNvPr>
        <xdr:cNvSpPr txBox="1">
          <a:spLocks noChangeArrowheads="1"/>
        </xdr:cNvSpPr>
      </xdr:nvSpPr>
      <xdr:spPr>
        <a:xfrm>
          <a:off x="1447800" y="13554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84" name="Text Box 3">
          <a:extLst>
            <a:ext uri="{FF2B5EF4-FFF2-40B4-BE49-F238E27FC236}">
              <a16:creationId xmlns:a16="http://schemas.microsoft.com/office/drawing/2014/main" id="{00000000-0008-0000-0900-0000B8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85" name="Text Box 3">
          <a:extLst>
            <a:ext uri="{FF2B5EF4-FFF2-40B4-BE49-F238E27FC236}">
              <a16:creationId xmlns:a16="http://schemas.microsoft.com/office/drawing/2014/main" id="{00000000-0008-0000-0900-0000B9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86" name="Text Box 3">
          <a:extLst>
            <a:ext uri="{FF2B5EF4-FFF2-40B4-BE49-F238E27FC236}">
              <a16:creationId xmlns:a16="http://schemas.microsoft.com/office/drawing/2014/main" id="{00000000-0008-0000-0900-0000BA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87" name="Text Box 3">
          <a:extLst>
            <a:ext uri="{FF2B5EF4-FFF2-40B4-BE49-F238E27FC236}">
              <a16:creationId xmlns:a16="http://schemas.microsoft.com/office/drawing/2014/main" id="{00000000-0008-0000-0900-0000BB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88" name="Text Box 3">
          <a:extLst>
            <a:ext uri="{FF2B5EF4-FFF2-40B4-BE49-F238E27FC236}">
              <a16:creationId xmlns:a16="http://schemas.microsoft.com/office/drawing/2014/main" id="{00000000-0008-0000-0900-0000BC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189" name="Text Box 3">
          <a:extLst>
            <a:ext uri="{FF2B5EF4-FFF2-40B4-BE49-F238E27FC236}">
              <a16:creationId xmlns:a16="http://schemas.microsoft.com/office/drawing/2014/main" id="{00000000-0008-0000-0900-0000BD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190" name="Text Box 3">
          <a:extLst>
            <a:ext uri="{FF2B5EF4-FFF2-40B4-BE49-F238E27FC236}">
              <a16:creationId xmlns:a16="http://schemas.microsoft.com/office/drawing/2014/main" id="{00000000-0008-0000-0900-0000BE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191" name="Text Box 3">
          <a:extLst>
            <a:ext uri="{FF2B5EF4-FFF2-40B4-BE49-F238E27FC236}">
              <a16:creationId xmlns:a16="http://schemas.microsoft.com/office/drawing/2014/main" id="{00000000-0008-0000-0900-0000BF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192" name="Text Box 3">
          <a:extLst>
            <a:ext uri="{FF2B5EF4-FFF2-40B4-BE49-F238E27FC236}">
              <a16:creationId xmlns:a16="http://schemas.microsoft.com/office/drawing/2014/main" id="{00000000-0008-0000-0900-0000C0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57</xdr:row>
      <xdr:rowOff>0</xdr:rowOff>
    </xdr:to>
    <xdr:sp macro="" textlink="">
      <xdr:nvSpPr>
        <xdr:cNvPr id="193" name="Text Box 3">
          <a:extLst>
            <a:ext uri="{FF2B5EF4-FFF2-40B4-BE49-F238E27FC236}">
              <a16:creationId xmlns:a16="http://schemas.microsoft.com/office/drawing/2014/main" id="{00000000-0008-0000-0900-0000C1000000}"/>
            </a:ext>
          </a:extLst>
        </xdr:cNvPr>
        <xdr:cNvSpPr txBox="1">
          <a:spLocks noChangeArrowheads="1"/>
        </xdr:cNvSpPr>
      </xdr:nvSpPr>
      <xdr:spPr>
        <a:xfrm>
          <a:off x="1457325" y="13554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194" name="Text Box 3">
          <a:extLst>
            <a:ext uri="{FF2B5EF4-FFF2-40B4-BE49-F238E27FC236}">
              <a16:creationId xmlns:a16="http://schemas.microsoft.com/office/drawing/2014/main" id="{00000000-0008-0000-0900-0000C2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195" name="Text Box 3">
          <a:extLst>
            <a:ext uri="{FF2B5EF4-FFF2-40B4-BE49-F238E27FC236}">
              <a16:creationId xmlns:a16="http://schemas.microsoft.com/office/drawing/2014/main" id="{00000000-0008-0000-0900-0000C3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57</xdr:row>
      <xdr:rowOff>0</xdr:rowOff>
    </xdr:to>
    <xdr:sp macro="" textlink="">
      <xdr:nvSpPr>
        <xdr:cNvPr id="196" name="Text Box 3">
          <a:extLst>
            <a:ext uri="{FF2B5EF4-FFF2-40B4-BE49-F238E27FC236}">
              <a16:creationId xmlns:a16="http://schemas.microsoft.com/office/drawing/2014/main" id="{00000000-0008-0000-0900-0000C4000000}"/>
            </a:ext>
          </a:extLst>
        </xdr:cNvPr>
        <xdr:cNvSpPr txBox="1">
          <a:spLocks noChangeArrowheads="1"/>
        </xdr:cNvSpPr>
      </xdr:nvSpPr>
      <xdr:spPr>
        <a:xfrm>
          <a:off x="1457325" y="13554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197" name="Text Box 3">
          <a:extLst>
            <a:ext uri="{FF2B5EF4-FFF2-40B4-BE49-F238E27FC236}">
              <a16:creationId xmlns:a16="http://schemas.microsoft.com/office/drawing/2014/main" id="{00000000-0008-0000-0900-0000C5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198" name="Text Box 3">
          <a:extLst>
            <a:ext uri="{FF2B5EF4-FFF2-40B4-BE49-F238E27FC236}">
              <a16:creationId xmlns:a16="http://schemas.microsoft.com/office/drawing/2014/main" id="{00000000-0008-0000-0900-0000C6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57</xdr:row>
      <xdr:rowOff>0</xdr:rowOff>
    </xdr:to>
    <xdr:sp macro="" textlink="">
      <xdr:nvSpPr>
        <xdr:cNvPr id="199" name="Text Box 3">
          <a:extLst>
            <a:ext uri="{FF2B5EF4-FFF2-40B4-BE49-F238E27FC236}">
              <a16:creationId xmlns:a16="http://schemas.microsoft.com/office/drawing/2014/main" id="{00000000-0008-0000-0900-0000C7000000}"/>
            </a:ext>
          </a:extLst>
        </xdr:cNvPr>
        <xdr:cNvSpPr txBox="1">
          <a:spLocks noChangeArrowheads="1"/>
        </xdr:cNvSpPr>
      </xdr:nvSpPr>
      <xdr:spPr>
        <a:xfrm>
          <a:off x="1457325" y="13554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00" name="Text Box 3">
          <a:extLst>
            <a:ext uri="{FF2B5EF4-FFF2-40B4-BE49-F238E27FC236}">
              <a16:creationId xmlns:a16="http://schemas.microsoft.com/office/drawing/2014/main" id="{00000000-0008-0000-0900-0000C8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01" name="Text Box 3">
          <a:extLst>
            <a:ext uri="{FF2B5EF4-FFF2-40B4-BE49-F238E27FC236}">
              <a16:creationId xmlns:a16="http://schemas.microsoft.com/office/drawing/2014/main" id="{00000000-0008-0000-0900-0000C9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02" name="Text Box 3">
          <a:extLst>
            <a:ext uri="{FF2B5EF4-FFF2-40B4-BE49-F238E27FC236}">
              <a16:creationId xmlns:a16="http://schemas.microsoft.com/office/drawing/2014/main" id="{00000000-0008-0000-0900-0000CA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03" name="Text Box 3">
          <a:extLst>
            <a:ext uri="{FF2B5EF4-FFF2-40B4-BE49-F238E27FC236}">
              <a16:creationId xmlns:a16="http://schemas.microsoft.com/office/drawing/2014/main" id="{00000000-0008-0000-0900-0000CB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57</xdr:row>
      <xdr:rowOff>0</xdr:rowOff>
    </xdr:to>
    <xdr:sp macro="" textlink="">
      <xdr:nvSpPr>
        <xdr:cNvPr id="204" name="Text Box 3">
          <a:extLst>
            <a:ext uri="{FF2B5EF4-FFF2-40B4-BE49-F238E27FC236}">
              <a16:creationId xmlns:a16="http://schemas.microsoft.com/office/drawing/2014/main" id="{00000000-0008-0000-0900-0000CC000000}"/>
            </a:ext>
          </a:extLst>
        </xdr:cNvPr>
        <xdr:cNvSpPr txBox="1">
          <a:spLocks noChangeArrowheads="1"/>
        </xdr:cNvSpPr>
      </xdr:nvSpPr>
      <xdr:spPr>
        <a:xfrm>
          <a:off x="1457325" y="13554075"/>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05" name="Text Box 3">
          <a:extLst>
            <a:ext uri="{FF2B5EF4-FFF2-40B4-BE49-F238E27FC236}">
              <a16:creationId xmlns:a16="http://schemas.microsoft.com/office/drawing/2014/main" id="{00000000-0008-0000-0900-0000CD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06" name="Text Box 3">
          <a:extLst>
            <a:ext uri="{FF2B5EF4-FFF2-40B4-BE49-F238E27FC236}">
              <a16:creationId xmlns:a16="http://schemas.microsoft.com/office/drawing/2014/main" id="{00000000-0008-0000-0900-0000CE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07" name="Text Box 3">
          <a:extLst>
            <a:ext uri="{FF2B5EF4-FFF2-40B4-BE49-F238E27FC236}">
              <a16:creationId xmlns:a16="http://schemas.microsoft.com/office/drawing/2014/main" id="{00000000-0008-0000-0900-0000CF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08" name="Text Box 3">
          <a:extLst>
            <a:ext uri="{FF2B5EF4-FFF2-40B4-BE49-F238E27FC236}">
              <a16:creationId xmlns:a16="http://schemas.microsoft.com/office/drawing/2014/main" id="{00000000-0008-0000-0900-0000D0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09" name="Text Box 3">
          <a:extLst>
            <a:ext uri="{FF2B5EF4-FFF2-40B4-BE49-F238E27FC236}">
              <a16:creationId xmlns:a16="http://schemas.microsoft.com/office/drawing/2014/main" id="{00000000-0008-0000-0900-0000D1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10" name="Text Box 3">
          <a:extLst>
            <a:ext uri="{FF2B5EF4-FFF2-40B4-BE49-F238E27FC236}">
              <a16:creationId xmlns:a16="http://schemas.microsoft.com/office/drawing/2014/main" id="{00000000-0008-0000-0900-0000D2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11" name="Text Box 3">
          <a:extLst>
            <a:ext uri="{FF2B5EF4-FFF2-40B4-BE49-F238E27FC236}">
              <a16:creationId xmlns:a16="http://schemas.microsoft.com/office/drawing/2014/main" id="{00000000-0008-0000-0900-0000D3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12" name="Text Box 3">
          <a:extLst>
            <a:ext uri="{FF2B5EF4-FFF2-40B4-BE49-F238E27FC236}">
              <a16:creationId xmlns:a16="http://schemas.microsoft.com/office/drawing/2014/main" id="{00000000-0008-0000-0900-0000D4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13" name="Text Box 3">
          <a:extLst>
            <a:ext uri="{FF2B5EF4-FFF2-40B4-BE49-F238E27FC236}">
              <a16:creationId xmlns:a16="http://schemas.microsoft.com/office/drawing/2014/main" id="{00000000-0008-0000-0900-0000D5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56</xdr:row>
      <xdr:rowOff>171450</xdr:rowOff>
    </xdr:to>
    <xdr:sp macro="" textlink="">
      <xdr:nvSpPr>
        <xdr:cNvPr id="214" name="Text Box 3">
          <a:extLst>
            <a:ext uri="{FF2B5EF4-FFF2-40B4-BE49-F238E27FC236}">
              <a16:creationId xmlns:a16="http://schemas.microsoft.com/office/drawing/2014/main" id="{00000000-0008-0000-0900-0000D6000000}"/>
            </a:ext>
          </a:extLst>
        </xdr:cNvPr>
        <xdr:cNvSpPr txBox="1">
          <a:spLocks noChangeArrowheads="1"/>
        </xdr:cNvSpPr>
      </xdr:nvSpPr>
      <xdr:spPr>
        <a:xfrm>
          <a:off x="1447800" y="13554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15" name="Text Box 3">
          <a:extLst>
            <a:ext uri="{FF2B5EF4-FFF2-40B4-BE49-F238E27FC236}">
              <a16:creationId xmlns:a16="http://schemas.microsoft.com/office/drawing/2014/main" id="{00000000-0008-0000-0900-0000D7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16" name="Text Box 3">
          <a:extLst>
            <a:ext uri="{FF2B5EF4-FFF2-40B4-BE49-F238E27FC236}">
              <a16:creationId xmlns:a16="http://schemas.microsoft.com/office/drawing/2014/main" id="{00000000-0008-0000-0900-0000D8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56</xdr:row>
      <xdr:rowOff>171450</xdr:rowOff>
    </xdr:to>
    <xdr:sp macro="" textlink="">
      <xdr:nvSpPr>
        <xdr:cNvPr id="217" name="Text Box 3">
          <a:extLst>
            <a:ext uri="{FF2B5EF4-FFF2-40B4-BE49-F238E27FC236}">
              <a16:creationId xmlns:a16="http://schemas.microsoft.com/office/drawing/2014/main" id="{00000000-0008-0000-0900-0000D9000000}"/>
            </a:ext>
          </a:extLst>
        </xdr:cNvPr>
        <xdr:cNvSpPr txBox="1">
          <a:spLocks noChangeArrowheads="1"/>
        </xdr:cNvSpPr>
      </xdr:nvSpPr>
      <xdr:spPr>
        <a:xfrm>
          <a:off x="1447800" y="13554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18" name="Text Box 3">
          <a:extLst>
            <a:ext uri="{FF2B5EF4-FFF2-40B4-BE49-F238E27FC236}">
              <a16:creationId xmlns:a16="http://schemas.microsoft.com/office/drawing/2014/main" id="{00000000-0008-0000-0900-0000DA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19" name="Text Box 3">
          <a:extLst>
            <a:ext uri="{FF2B5EF4-FFF2-40B4-BE49-F238E27FC236}">
              <a16:creationId xmlns:a16="http://schemas.microsoft.com/office/drawing/2014/main" id="{00000000-0008-0000-0900-0000DB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56</xdr:row>
      <xdr:rowOff>171450</xdr:rowOff>
    </xdr:to>
    <xdr:sp macro="" textlink="">
      <xdr:nvSpPr>
        <xdr:cNvPr id="220" name="Text Box 3">
          <a:extLst>
            <a:ext uri="{FF2B5EF4-FFF2-40B4-BE49-F238E27FC236}">
              <a16:creationId xmlns:a16="http://schemas.microsoft.com/office/drawing/2014/main" id="{00000000-0008-0000-0900-0000DC000000}"/>
            </a:ext>
          </a:extLst>
        </xdr:cNvPr>
        <xdr:cNvSpPr txBox="1">
          <a:spLocks noChangeArrowheads="1"/>
        </xdr:cNvSpPr>
      </xdr:nvSpPr>
      <xdr:spPr>
        <a:xfrm>
          <a:off x="1447800" y="13554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21" name="Text Box 3">
          <a:extLst>
            <a:ext uri="{FF2B5EF4-FFF2-40B4-BE49-F238E27FC236}">
              <a16:creationId xmlns:a16="http://schemas.microsoft.com/office/drawing/2014/main" id="{00000000-0008-0000-0900-0000DD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22" name="Text Box 3">
          <a:extLst>
            <a:ext uri="{FF2B5EF4-FFF2-40B4-BE49-F238E27FC236}">
              <a16:creationId xmlns:a16="http://schemas.microsoft.com/office/drawing/2014/main" id="{00000000-0008-0000-0900-0000DE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23" name="Text Box 3">
          <a:extLst>
            <a:ext uri="{FF2B5EF4-FFF2-40B4-BE49-F238E27FC236}">
              <a16:creationId xmlns:a16="http://schemas.microsoft.com/office/drawing/2014/main" id="{00000000-0008-0000-0900-0000DF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24" name="Text Box 3">
          <a:extLst>
            <a:ext uri="{FF2B5EF4-FFF2-40B4-BE49-F238E27FC236}">
              <a16:creationId xmlns:a16="http://schemas.microsoft.com/office/drawing/2014/main" id="{00000000-0008-0000-0900-0000E0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342900</xdr:colOff>
      <xdr:row>56</xdr:row>
      <xdr:rowOff>171450</xdr:rowOff>
    </xdr:to>
    <xdr:sp macro="" textlink="">
      <xdr:nvSpPr>
        <xdr:cNvPr id="225" name="Text Box 3">
          <a:extLst>
            <a:ext uri="{FF2B5EF4-FFF2-40B4-BE49-F238E27FC236}">
              <a16:creationId xmlns:a16="http://schemas.microsoft.com/office/drawing/2014/main" id="{00000000-0008-0000-0900-0000E1000000}"/>
            </a:ext>
          </a:extLst>
        </xdr:cNvPr>
        <xdr:cNvSpPr txBox="1">
          <a:spLocks noChangeArrowheads="1"/>
        </xdr:cNvSpPr>
      </xdr:nvSpPr>
      <xdr:spPr>
        <a:xfrm>
          <a:off x="1447800" y="13554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26" name="Text Box 3">
          <a:extLst>
            <a:ext uri="{FF2B5EF4-FFF2-40B4-BE49-F238E27FC236}">
              <a16:creationId xmlns:a16="http://schemas.microsoft.com/office/drawing/2014/main" id="{00000000-0008-0000-0900-0000E2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27" name="Text Box 3">
          <a:extLst>
            <a:ext uri="{FF2B5EF4-FFF2-40B4-BE49-F238E27FC236}">
              <a16:creationId xmlns:a16="http://schemas.microsoft.com/office/drawing/2014/main" id="{00000000-0008-0000-0900-0000E3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28" name="Text Box 3">
          <a:extLst>
            <a:ext uri="{FF2B5EF4-FFF2-40B4-BE49-F238E27FC236}">
              <a16:creationId xmlns:a16="http://schemas.microsoft.com/office/drawing/2014/main" id="{00000000-0008-0000-0900-0000E4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29" name="Text Box 3">
          <a:extLst>
            <a:ext uri="{FF2B5EF4-FFF2-40B4-BE49-F238E27FC236}">
              <a16:creationId xmlns:a16="http://schemas.microsoft.com/office/drawing/2014/main" id="{00000000-0008-0000-0900-0000E5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30" name="Text Box 3">
          <a:extLst>
            <a:ext uri="{FF2B5EF4-FFF2-40B4-BE49-F238E27FC236}">
              <a16:creationId xmlns:a16="http://schemas.microsoft.com/office/drawing/2014/main" id="{00000000-0008-0000-0900-0000E6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56</xdr:row>
      <xdr:rowOff>0</xdr:rowOff>
    </xdr:from>
    <xdr:to>
      <xdr:col>2</xdr:col>
      <xdr:colOff>400050</xdr:colOff>
      <xdr:row>56</xdr:row>
      <xdr:rowOff>47625</xdr:rowOff>
    </xdr:to>
    <xdr:sp macro="" textlink="">
      <xdr:nvSpPr>
        <xdr:cNvPr id="231" name="Text Box 3">
          <a:extLst>
            <a:ext uri="{FF2B5EF4-FFF2-40B4-BE49-F238E27FC236}">
              <a16:creationId xmlns:a16="http://schemas.microsoft.com/office/drawing/2014/main" id="{00000000-0008-0000-0900-0000E7000000}"/>
            </a:ext>
          </a:extLst>
        </xdr:cNvPr>
        <xdr:cNvSpPr txBox="1">
          <a:spLocks noChangeArrowheads="1"/>
        </xdr:cNvSpPr>
      </xdr:nvSpPr>
      <xdr:spPr>
        <a:xfrm>
          <a:off x="1447800"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56</xdr:row>
      <xdr:rowOff>0</xdr:rowOff>
    </xdr:from>
    <xdr:to>
      <xdr:col>2</xdr:col>
      <xdr:colOff>457200</xdr:colOff>
      <xdr:row>56</xdr:row>
      <xdr:rowOff>9525</xdr:rowOff>
    </xdr:to>
    <xdr:sp macro="" textlink="">
      <xdr:nvSpPr>
        <xdr:cNvPr id="232" name="Text Box 3">
          <a:extLst>
            <a:ext uri="{FF2B5EF4-FFF2-40B4-BE49-F238E27FC236}">
              <a16:creationId xmlns:a16="http://schemas.microsoft.com/office/drawing/2014/main" id="{00000000-0008-0000-0900-0000E8000000}"/>
            </a:ext>
          </a:extLst>
        </xdr:cNvPr>
        <xdr:cNvSpPr txBox="1">
          <a:spLocks noChangeArrowheads="1"/>
        </xdr:cNvSpPr>
      </xdr:nvSpPr>
      <xdr:spPr>
        <a:xfrm>
          <a:off x="1504950" y="1355407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33" name="Text Box 3">
          <a:extLst>
            <a:ext uri="{FF2B5EF4-FFF2-40B4-BE49-F238E27FC236}">
              <a16:creationId xmlns:a16="http://schemas.microsoft.com/office/drawing/2014/main" id="{00000000-0008-0000-0900-0000E9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34" name="Text Box 3">
          <a:extLst>
            <a:ext uri="{FF2B5EF4-FFF2-40B4-BE49-F238E27FC236}">
              <a16:creationId xmlns:a16="http://schemas.microsoft.com/office/drawing/2014/main" id="{00000000-0008-0000-0900-0000EA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56</xdr:row>
      <xdr:rowOff>171450</xdr:rowOff>
    </xdr:to>
    <xdr:sp macro="" textlink="">
      <xdr:nvSpPr>
        <xdr:cNvPr id="235" name="Text Box 3">
          <a:extLst>
            <a:ext uri="{FF2B5EF4-FFF2-40B4-BE49-F238E27FC236}">
              <a16:creationId xmlns:a16="http://schemas.microsoft.com/office/drawing/2014/main" id="{00000000-0008-0000-0900-0000EB000000}"/>
            </a:ext>
          </a:extLst>
        </xdr:cNvPr>
        <xdr:cNvSpPr txBox="1">
          <a:spLocks noChangeArrowheads="1"/>
        </xdr:cNvSpPr>
      </xdr:nvSpPr>
      <xdr:spPr>
        <a:xfrm>
          <a:off x="1457325" y="1355407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36" name="Text Box 3">
          <a:extLst>
            <a:ext uri="{FF2B5EF4-FFF2-40B4-BE49-F238E27FC236}">
              <a16:creationId xmlns:a16="http://schemas.microsoft.com/office/drawing/2014/main" id="{00000000-0008-0000-0900-0000EC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37" name="Text Box 3">
          <a:extLst>
            <a:ext uri="{FF2B5EF4-FFF2-40B4-BE49-F238E27FC236}">
              <a16:creationId xmlns:a16="http://schemas.microsoft.com/office/drawing/2014/main" id="{00000000-0008-0000-0900-0000ED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56</xdr:row>
      <xdr:rowOff>171450</xdr:rowOff>
    </xdr:to>
    <xdr:sp macro="" textlink="">
      <xdr:nvSpPr>
        <xdr:cNvPr id="238" name="Text Box 3">
          <a:extLst>
            <a:ext uri="{FF2B5EF4-FFF2-40B4-BE49-F238E27FC236}">
              <a16:creationId xmlns:a16="http://schemas.microsoft.com/office/drawing/2014/main" id="{00000000-0008-0000-0900-0000EE000000}"/>
            </a:ext>
          </a:extLst>
        </xdr:cNvPr>
        <xdr:cNvSpPr txBox="1">
          <a:spLocks noChangeArrowheads="1"/>
        </xdr:cNvSpPr>
      </xdr:nvSpPr>
      <xdr:spPr>
        <a:xfrm>
          <a:off x="1457325" y="1355407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39" name="Text Box 3">
          <a:extLst>
            <a:ext uri="{FF2B5EF4-FFF2-40B4-BE49-F238E27FC236}">
              <a16:creationId xmlns:a16="http://schemas.microsoft.com/office/drawing/2014/main" id="{00000000-0008-0000-0900-0000EF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40" name="Text Box 3">
          <a:extLst>
            <a:ext uri="{FF2B5EF4-FFF2-40B4-BE49-F238E27FC236}">
              <a16:creationId xmlns:a16="http://schemas.microsoft.com/office/drawing/2014/main" id="{00000000-0008-0000-0900-0000F0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56</xdr:row>
      <xdr:rowOff>171450</xdr:rowOff>
    </xdr:to>
    <xdr:sp macro="" textlink="">
      <xdr:nvSpPr>
        <xdr:cNvPr id="241" name="Text Box 3">
          <a:extLst>
            <a:ext uri="{FF2B5EF4-FFF2-40B4-BE49-F238E27FC236}">
              <a16:creationId xmlns:a16="http://schemas.microsoft.com/office/drawing/2014/main" id="{00000000-0008-0000-0900-0000F1000000}"/>
            </a:ext>
          </a:extLst>
        </xdr:cNvPr>
        <xdr:cNvSpPr txBox="1">
          <a:spLocks noChangeArrowheads="1"/>
        </xdr:cNvSpPr>
      </xdr:nvSpPr>
      <xdr:spPr>
        <a:xfrm>
          <a:off x="1457325" y="1355407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42" name="Text Box 3">
          <a:extLst>
            <a:ext uri="{FF2B5EF4-FFF2-40B4-BE49-F238E27FC236}">
              <a16:creationId xmlns:a16="http://schemas.microsoft.com/office/drawing/2014/main" id="{00000000-0008-0000-0900-0000F2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43" name="Text Box 3">
          <a:extLst>
            <a:ext uri="{FF2B5EF4-FFF2-40B4-BE49-F238E27FC236}">
              <a16:creationId xmlns:a16="http://schemas.microsoft.com/office/drawing/2014/main" id="{00000000-0008-0000-0900-0000F3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44" name="Text Box 3">
          <a:extLst>
            <a:ext uri="{FF2B5EF4-FFF2-40B4-BE49-F238E27FC236}">
              <a16:creationId xmlns:a16="http://schemas.microsoft.com/office/drawing/2014/main" id="{00000000-0008-0000-0900-0000F4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45" name="Text Box 3">
          <a:extLst>
            <a:ext uri="{FF2B5EF4-FFF2-40B4-BE49-F238E27FC236}">
              <a16:creationId xmlns:a16="http://schemas.microsoft.com/office/drawing/2014/main" id="{00000000-0008-0000-0900-0000F5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361950</xdr:colOff>
      <xdr:row>56</xdr:row>
      <xdr:rowOff>171450</xdr:rowOff>
    </xdr:to>
    <xdr:sp macro="" textlink="">
      <xdr:nvSpPr>
        <xdr:cNvPr id="246" name="Text Box 3">
          <a:extLst>
            <a:ext uri="{FF2B5EF4-FFF2-40B4-BE49-F238E27FC236}">
              <a16:creationId xmlns:a16="http://schemas.microsoft.com/office/drawing/2014/main" id="{00000000-0008-0000-0900-0000F6000000}"/>
            </a:ext>
          </a:extLst>
        </xdr:cNvPr>
        <xdr:cNvSpPr txBox="1">
          <a:spLocks noChangeArrowheads="1"/>
        </xdr:cNvSpPr>
      </xdr:nvSpPr>
      <xdr:spPr>
        <a:xfrm>
          <a:off x="1457325" y="1355407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47" name="Text Box 3">
          <a:extLst>
            <a:ext uri="{FF2B5EF4-FFF2-40B4-BE49-F238E27FC236}">
              <a16:creationId xmlns:a16="http://schemas.microsoft.com/office/drawing/2014/main" id="{00000000-0008-0000-0900-0000F7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48" name="Text Box 3">
          <a:extLst>
            <a:ext uri="{FF2B5EF4-FFF2-40B4-BE49-F238E27FC236}">
              <a16:creationId xmlns:a16="http://schemas.microsoft.com/office/drawing/2014/main" id="{00000000-0008-0000-0900-0000F8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49" name="Text Box 3">
          <a:extLst>
            <a:ext uri="{FF2B5EF4-FFF2-40B4-BE49-F238E27FC236}">
              <a16:creationId xmlns:a16="http://schemas.microsoft.com/office/drawing/2014/main" id="{00000000-0008-0000-0900-0000F9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50" name="Text Box 3">
          <a:extLst>
            <a:ext uri="{FF2B5EF4-FFF2-40B4-BE49-F238E27FC236}">
              <a16:creationId xmlns:a16="http://schemas.microsoft.com/office/drawing/2014/main" id="{00000000-0008-0000-0900-0000FA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51" name="Text Box 3">
          <a:extLst>
            <a:ext uri="{FF2B5EF4-FFF2-40B4-BE49-F238E27FC236}">
              <a16:creationId xmlns:a16="http://schemas.microsoft.com/office/drawing/2014/main" id="{00000000-0008-0000-0900-0000FB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56</xdr:row>
      <xdr:rowOff>0</xdr:rowOff>
    </xdr:from>
    <xdr:to>
      <xdr:col>2</xdr:col>
      <xdr:colOff>409575</xdr:colOff>
      <xdr:row>56</xdr:row>
      <xdr:rowOff>47625</xdr:rowOff>
    </xdr:to>
    <xdr:sp macro="" textlink="">
      <xdr:nvSpPr>
        <xdr:cNvPr id="252" name="Text Box 3">
          <a:extLst>
            <a:ext uri="{FF2B5EF4-FFF2-40B4-BE49-F238E27FC236}">
              <a16:creationId xmlns:a16="http://schemas.microsoft.com/office/drawing/2014/main" id="{00000000-0008-0000-0900-0000FC000000}"/>
            </a:ext>
          </a:extLst>
        </xdr:cNvPr>
        <xdr:cNvSpPr txBox="1">
          <a:spLocks noChangeArrowheads="1"/>
        </xdr:cNvSpPr>
      </xdr:nvSpPr>
      <xdr:spPr>
        <a:xfrm>
          <a:off x="1457325" y="1355407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56</xdr:row>
      <xdr:rowOff>0</xdr:rowOff>
    </xdr:from>
    <xdr:to>
      <xdr:col>2</xdr:col>
      <xdr:colOff>476250</xdr:colOff>
      <xdr:row>56</xdr:row>
      <xdr:rowOff>9525</xdr:rowOff>
    </xdr:to>
    <xdr:sp macro="" textlink="">
      <xdr:nvSpPr>
        <xdr:cNvPr id="253" name="Text Box 3">
          <a:extLst>
            <a:ext uri="{FF2B5EF4-FFF2-40B4-BE49-F238E27FC236}">
              <a16:creationId xmlns:a16="http://schemas.microsoft.com/office/drawing/2014/main" id="{00000000-0008-0000-0900-0000FD000000}"/>
            </a:ext>
          </a:extLst>
        </xdr:cNvPr>
        <xdr:cNvSpPr txBox="1">
          <a:spLocks noChangeArrowheads="1"/>
        </xdr:cNvSpPr>
      </xdr:nvSpPr>
      <xdr:spPr>
        <a:xfrm>
          <a:off x="1514475" y="135540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54" name="Text Box 3">
          <a:extLst>
            <a:ext uri="{FF2B5EF4-FFF2-40B4-BE49-F238E27FC236}">
              <a16:creationId xmlns:a16="http://schemas.microsoft.com/office/drawing/2014/main" id="{00000000-0008-0000-0900-0000FE00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55" name="Text Box 3">
          <a:extLst>
            <a:ext uri="{FF2B5EF4-FFF2-40B4-BE49-F238E27FC236}">
              <a16:creationId xmlns:a16="http://schemas.microsoft.com/office/drawing/2014/main" id="{00000000-0008-0000-0900-0000FF00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97</xdr:row>
      <xdr:rowOff>66675</xdr:rowOff>
    </xdr:to>
    <xdr:sp macro="" textlink="">
      <xdr:nvSpPr>
        <xdr:cNvPr id="256" name="Text Box 3">
          <a:extLst>
            <a:ext uri="{FF2B5EF4-FFF2-40B4-BE49-F238E27FC236}">
              <a16:creationId xmlns:a16="http://schemas.microsoft.com/office/drawing/2014/main" id="{00000000-0008-0000-0900-000000010000}"/>
            </a:ext>
          </a:extLst>
        </xdr:cNvPr>
        <xdr:cNvSpPr txBox="1">
          <a:spLocks noChangeArrowheads="1"/>
        </xdr:cNvSpPr>
      </xdr:nvSpPr>
      <xdr:spPr>
        <a:xfrm>
          <a:off x="1447800" y="231076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57" name="Text Box 3">
          <a:extLst>
            <a:ext uri="{FF2B5EF4-FFF2-40B4-BE49-F238E27FC236}">
              <a16:creationId xmlns:a16="http://schemas.microsoft.com/office/drawing/2014/main" id="{00000000-0008-0000-0900-000001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58" name="Text Box 3">
          <a:extLst>
            <a:ext uri="{FF2B5EF4-FFF2-40B4-BE49-F238E27FC236}">
              <a16:creationId xmlns:a16="http://schemas.microsoft.com/office/drawing/2014/main" id="{00000000-0008-0000-0900-000002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97</xdr:row>
      <xdr:rowOff>66675</xdr:rowOff>
    </xdr:to>
    <xdr:sp macro="" textlink="">
      <xdr:nvSpPr>
        <xdr:cNvPr id="259" name="Text Box 3">
          <a:extLst>
            <a:ext uri="{FF2B5EF4-FFF2-40B4-BE49-F238E27FC236}">
              <a16:creationId xmlns:a16="http://schemas.microsoft.com/office/drawing/2014/main" id="{00000000-0008-0000-0900-000003010000}"/>
            </a:ext>
          </a:extLst>
        </xdr:cNvPr>
        <xdr:cNvSpPr txBox="1">
          <a:spLocks noChangeArrowheads="1"/>
        </xdr:cNvSpPr>
      </xdr:nvSpPr>
      <xdr:spPr>
        <a:xfrm>
          <a:off x="1447800" y="231076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60" name="Text Box 3">
          <a:extLst>
            <a:ext uri="{FF2B5EF4-FFF2-40B4-BE49-F238E27FC236}">
              <a16:creationId xmlns:a16="http://schemas.microsoft.com/office/drawing/2014/main" id="{00000000-0008-0000-0900-000004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61" name="Text Box 3">
          <a:extLst>
            <a:ext uri="{FF2B5EF4-FFF2-40B4-BE49-F238E27FC236}">
              <a16:creationId xmlns:a16="http://schemas.microsoft.com/office/drawing/2014/main" id="{00000000-0008-0000-0900-000005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97</xdr:row>
      <xdr:rowOff>66675</xdr:rowOff>
    </xdr:to>
    <xdr:sp macro="" textlink="">
      <xdr:nvSpPr>
        <xdr:cNvPr id="262" name="Text Box 3">
          <a:extLst>
            <a:ext uri="{FF2B5EF4-FFF2-40B4-BE49-F238E27FC236}">
              <a16:creationId xmlns:a16="http://schemas.microsoft.com/office/drawing/2014/main" id="{00000000-0008-0000-0900-000006010000}"/>
            </a:ext>
          </a:extLst>
        </xdr:cNvPr>
        <xdr:cNvSpPr txBox="1">
          <a:spLocks noChangeArrowheads="1"/>
        </xdr:cNvSpPr>
      </xdr:nvSpPr>
      <xdr:spPr>
        <a:xfrm>
          <a:off x="1447800" y="231076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63" name="Text Box 3">
          <a:extLst>
            <a:ext uri="{FF2B5EF4-FFF2-40B4-BE49-F238E27FC236}">
              <a16:creationId xmlns:a16="http://schemas.microsoft.com/office/drawing/2014/main" id="{00000000-0008-0000-0900-000007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64" name="Text Box 3">
          <a:extLst>
            <a:ext uri="{FF2B5EF4-FFF2-40B4-BE49-F238E27FC236}">
              <a16:creationId xmlns:a16="http://schemas.microsoft.com/office/drawing/2014/main" id="{00000000-0008-0000-0900-000008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65" name="Text Box 3">
          <a:extLst>
            <a:ext uri="{FF2B5EF4-FFF2-40B4-BE49-F238E27FC236}">
              <a16:creationId xmlns:a16="http://schemas.microsoft.com/office/drawing/2014/main" id="{00000000-0008-0000-0900-000009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66" name="Text Box 3">
          <a:extLst>
            <a:ext uri="{FF2B5EF4-FFF2-40B4-BE49-F238E27FC236}">
              <a16:creationId xmlns:a16="http://schemas.microsoft.com/office/drawing/2014/main" id="{00000000-0008-0000-0900-00000A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97</xdr:row>
      <xdr:rowOff>66675</xdr:rowOff>
    </xdr:to>
    <xdr:sp macro="" textlink="">
      <xdr:nvSpPr>
        <xdr:cNvPr id="267" name="Text Box 3">
          <a:extLst>
            <a:ext uri="{FF2B5EF4-FFF2-40B4-BE49-F238E27FC236}">
              <a16:creationId xmlns:a16="http://schemas.microsoft.com/office/drawing/2014/main" id="{00000000-0008-0000-0900-00000B010000}"/>
            </a:ext>
          </a:extLst>
        </xdr:cNvPr>
        <xdr:cNvSpPr txBox="1">
          <a:spLocks noChangeArrowheads="1"/>
        </xdr:cNvSpPr>
      </xdr:nvSpPr>
      <xdr:spPr>
        <a:xfrm>
          <a:off x="1447800" y="231076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68" name="Text Box 3">
          <a:extLst>
            <a:ext uri="{FF2B5EF4-FFF2-40B4-BE49-F238E27FC236}">
              <a16:creationId xmlns:a16="http://schemas.microsoft.com/office/drawing/2014/main" id="{00000000-0008-0000-0900-00000C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69" name="Text Box 3">
          <a:extLst>
            <a:ext uri="{FF2B5EF4-FFF2-40B4-BE49-F238E27FC236}">
              <a16:creationId xmlns:a16="http://schemas.microsoft.com/office/drawing/2014/main" id="{00000000-0008-0000-0900-00000D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70" name="Text Box 3">
          <a:extLst>
            <a:ext uri="{FF2B5EF4-FFF2-40B4-BE49-F238E27FC236}">
              <a16:creationId xmlns:a16="http://schemas.microsoft.com/office/drawing/2014/main" id="{00000000-0008-0000-0900-00000E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71" name="Text Box 3">
          <a:extLst>
            <a:ext uri="{FF2B5EF4-FFF2-40B4-BE49-F238E27FC236}">
              <a16:creationId xmlns:a16="http://schemas.microsoft.com/office/drawing/2014/main" id="{00000000-0008-0000-0900-00000F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72" name="Text Box 3">
          <a:extLst>
            <a:ext uri="{FF2B5EF4-FFF2-40B4-BE49-F238E27FC236}">
              <a16:creationId xmlns:a16="http://schemas.microsoft.com/office/drawing/2014/main" id="{00000000-0008-0000-0900-000010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73" name="Text Box 3">
          <a:extLst>
            <a:ext uri="{FF2B5EF4-FFF2-40B4-BE49-F238E27FC236}">
              <a16:creationId xmlns:a16="http://schemas.microsoft.com/office/drawing/2014/main" id="{00000000-0008-0000-0900-000011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74" name="Text Box 3">
          <a:extLst>
            <a:ext uri="{FF2B5EF4-FFF2-40B4-BE49-F238E27FC236}">
              <a16:creationId xmlns:a16="http://schemas.microsoft.com/office/drawing/2014/main" id="{00000000-0008-0000-0900-000012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75" name="Text Box 3">
          <a:extLst>
            <a:ext uri="{FF2B5EF4-FFF2-40B4-BE49-F238E27FC236}">
              <a16:creationId xmlns:a16="http://schemas.microsoft.com/office/drawing/2014/main" id="{00000000-0008-0000-0900-000013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76" name="Text Box 3">
          <a:extLst>
            <a:ext uri="{FF2B5EF4-FFF2-40B4-BE49-F238E27FC236}">
              <a16:creationId xmlns:a16="http://schemas.microsoft.com/office/drawing/2014/main" id="{00000000-0008-0000-0900-000014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97</xdr:row>
      <xdr:rowOff>66675</xdr:rowOff>
    </xdr:to>
    <xdr:sp macro="" textlink="">
      <xdr:nvSpPr>
        <xdr:cNvPr id="277" name="Text Box 3">
          <a:extLst>
            <a:ext uri="{FF2B5EF4-FFF2-40B4-BE49-F238E27FC236}">
              <a16:creationId xmlns:a16="http://schemas.microsoft.com/office/drawing/2014/main" id="{00000000-0008-0000-0900-000015010000}"/>
            </a:ext>
          </a:extLst>
        </xdr:cNvPr>
        <xdr:cNvSpPr txBox="1">
          <a:spLocks noChangeArrowheads="1"/>
        </xdr:cNvSpPr>
      </xdr:nvSpPr>
      <xdr:spPr>
        <a:xfrm>
          <a:off x="1457325" y="231076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78" name="Text Box 3">
          <a:extLst>
            <a:ext uri="{FF2B5EF4-FFF2-40B4-BE49-F238E27FC236}">
              <a16:creationId xmlns:a16="http://schemas.microsoft.com/office/drawing/2014/main" id="{00000000-0008-0000-0900-000016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79" name="Text Box 3">
          <a:extLst>
            <a:ext uri="{FF2B5EF4-FFF2-40B4-BE49-F238E27FC236}">
              <a16:creationId xmlns:a16="http://schemas.microsoft.com/office/drawing/2014/main" id="{00000000-0008-0000-0900-000017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97</xdr:row>
      <xdr:rowOff>66675</xdr:rowOff>
    </xdr:to>
    <xdr:sp macro="" textlink="">
      <xdr:nvSpPr>
        <xdr:cNvPr id="280" name="Text Box 3">
          <a:extLst>
            <a:ext uri="{FF2B5EF4-FFF2-40B4-BE49-F238E27FC236}">
              <a16:creationId xmlns:a16="http://schemas.microsoft.com/office/drawing/2014/main" id="{00000000-0008-0000-0900-000018010000}"/>
            </a:ext>
          </a:extLst>
        </xdr:cNvPr>
        <xdr:cNvSpPr txBox="1">
          <a:spLocks noChangeArrowheads="1"/>
        </xdr:cNvSpPr>
      </xdr:nvSpPr>
      <xdr:spPr>
        <a:xfrm>
          <a:off x="1457325" y="231076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81" name="Text Box 3">
          <a:extLst>
            <a:ext uri="{FF2B5EF4-FFF2-40B4-BE49-F238E27FC236}">
              <a16:creationId xmlns:a16="http://schemas.microsoft.com/office/drawing/2014/main" id="{00000000-0008-0000-0900-000019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82" name="Text Box 3">
          <a:extLst>
            <a:ext uri="{FF2B5EF4-FFF2-40B4-BE49-F238E27FC236}">
              <a16:creationId xmlns:a16="http://schemas.microsoft.com/office/drawing/2014/main" id="{00000000-0008-0000-0900-00001A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97</xdr:row>
      <xdr:rowOff>66675</xdr:rowOff>
    </xdr:to>
    <xdr:sp macro="" textlink="">
      <xdr:nvSpPr>
        <xdr:cNvPr id="283" name="Text Box 3">
          <a:extLst>
            <a:ext uri="{FF2B5EF4-FFF2-40B4-BE49-F238E27FC236}">
              <a16:creationId xmlns:a16="http://schemas.microsoft.com/office/drawing/2014/main" id="{00000000-0008-0000-0900-00001B010000}"/>
            </a:ext>
          </a:extLst>
        </xdr:cNvPr>
        <xdr:cNvSpPr txBox="1">
          <a:spLocks noChangeArrowheads="1"/>
        </xdr:cNvSpPr>
      </xdr:nvSpPr>
      <xdr:spPr>
        <a:xfrm>
          <a:off x="1457325" y="231076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84" name="Text Box 3">
          <a:extLst>
            <a:ext uri="{FF2B5EF4-FFF2-40B4-BE49-F238E27FC236}">
              <a16:creationId xmlns:a16="http://schemas.microsoft.com/office/drawing/2014/main" id="{00000000-0008-0000-0900-00001C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85" name="Text Box 3">
          <a:extLst>
            <a:ext uri="{FF2B5EF4-FFF2-40B4-BE49-F238E27FC236}">
              <a16:creationId xmlns:a16="http://schemas.microsoft.com/office/drawing/2014/main" id="{00000000-0008-0000-0900-00001D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86" name="Text Box 3">
          <a:extLst>
            <a:ext uri="{FF2B5EF4-FFF2-40B4-BE49-F238E27FC236}">
              <a16:creationId xmlns:a16="http://schemas.microsoft.com/office/drawing/2014/main" id="{00000000-0008-0000-0900-00001E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87" name="Text Box 3">
          <a:extLst>
            <a:ext uri="{FF2B5EF4-FFF2-40B4-BE49-F238E27FC236}">
              <a16:creationId xmlns:a16="http://schemas.microsoft.com/office/drawing/2014/main" id="{00000000-0008-0000-0900-00001F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97</xdr:row>
      <xdr:rowOff>66675</xdr:rowOff>
    </xdr:to>
    <xdr:sp macro="" textlink="">
      <xdr:nvSpPr>
        <xdr:cNvPr id="288" name="Text Box 3">
          <a:extLst>
            <a:ext uri="{FF2B5EF4-FFF2-40B4-BE49-F238E27FC236}">
              <a16:creationId xmlns:a16="http://schemas.microsoft.com/office/drawing/2014/main" id="{00000000-0008-0000-0900-000020010000}"/>
            </a:ext>
          </a:extLst>
        </xdr:cNvPr>
        <xdr:cNvSpPr txBox="1">
          <a:spLocks noChangeArrowheads="1"/>
        </xdr:cNvSpPr>
      </xdr:nvSpPr>
      <xdr:spPr>
        <a:xfrm>
          <a:off x="1457325" y="2310765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89" name="Text Box 3">
          <a:extLst>
            <a:ext uri="{FF2B5EF4-FFF2-40B4-BE49-F238E27FC236}">
              <a16:creationId xmlns:a16="http://schemas.microsoft.com/office/drawing/2014/main" id="{00000000-0008-0000-0900-000021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90" name="Text Box 3">
          <a:extLst>
            <a:ext uri="{FF2B5EF4-FFF2-40B4-BE49-F238E27FC236}">
              <a16:creationId xmlns:a16="http://schemas.microsoft.com/office/drawing/2014/main" id="{00000000-0008-0000-0900-000022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91" name="Text Box 3">
          <a:extLst>
            <a:ext uri="{FF2B5EF4-FFF2-40B4-BE49-F238E27FC236}">
              <a16:creationId xmlns:a16="http://schemas.microsoft.com/office/drawing/2014/main" id="{00000000-0008-0000-0900-000023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92" name="Text Box 3">
          <a:extLst>
            <a:ext uri="{FF2B5EF4-FFF2-40B4-BE49-F238E27FC236}">
              <a16:creationId xmlns:a16="http://schemas.microsoft.com/office/drawing/2014/main" id="{00000000-0008-0000-0900-000024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93" name="Text Box 3">
          <a:extLst>
            <a:ext uri="{FF2B5EF4-FFF2-40B4-BE49-F238E27FC236}">
              <a16:creationId xmlns:a16="http://schemas.microsoft.com/office/drawing/2014/main" id="{00000000-0008-0000-0900-000025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294" name="Text Box 3">
          <a:extLst>
            <a:ext uri="{FF2B5EF4-FFF2-40B4-BE49-F238E27FC236}">
              <a16:creationId xmlns:a16="http://schemas.microsoft.com/office/drawing/2014/main" id="{00000000-0008-0000-0900-000026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295" name="Text Box 3">
          <a:extLst>
            <a:ext uri="{FF2B5EF4-FFF2-40B4-BE49-F238E27FC236}">
              <a16:creationId xmlns:a16="http://schemas.microsoft.com/office/drawing/2014/main" id="{00000000-0008-0000-0900-000027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96" name="Text Box 3">
          <a:extLst>
            <a:ext uri="{FF2B5EF4-FFF2-40B4-BE49-F238E27FC236}">
              <a16:creationId xmlns:a16="http://schemas.microsoft.com/office/drawing/2014/main" id="{00000000-0008-0000-0900-000028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297" name="Text Box 3">
          <a:extLst>
            <a:ext uri="{FF2B5EF4-FFF2-40B4-BE49-F238E27FC236}">
              <a16:creationId xmlns:a16="http://schemas.microsoft.com/office/drawing/2014/main" id="{00000000-0008-0000-0900-000029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96</xdr:row>
      <xdr:rowOff>171450</xdr:rowOff>
    </xdr:to>
    <xdr:sp macro="" textlink="">
      <xdr:nvSpPr>
        <xdr:cNvPr id="298" name="Text Box 3">
          <a:extLst>
            <a:ext uri="{FF2B5EF4-FFF2-40B4-BE49-F238E27FC236}">
              <a16:creationId xmlns:a16="http://schemas.microsoft.com/office/drawing/2014/main" id="{00000000-0008-0000-0900-00002A010000}"/>
            </a:ext>
          </a:extLst>
        </xdr:cNvPr>
        <xdr:cNvSpPr txBox="1">
          <a:spLocks noChangeArrowheads="1"/>
        </xdr:cNvSpPr>
      </xdr:nvSpPr>
      <xdr:spPr>
        <a:xfrm>
          <a:off x="1447800" y="231076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299" name="Text Box 3">
          <a:extLst>
            <a:ext uri="{FF2B5EF4-FFF2-40B4-BE49-F238E27FC236}">
              <a16:creationId xmlns:a16="http://schemas.microsoft.com/office/drawing/2014/main" id="{00000000-0008-0000-0900-00002B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00" name="Text Box 3">
          <a:extLst>
            <a:ext uri="{FF2B5EF4-FFF2-40B4-BE49-F238E27FC236}">
              <a16:creationId xmlns:a16="http://schemas.microsoft.com/office/drawing/2014/main" id="{00000000-0008-0000-0900-00002C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96</xdr:row>
      <xdr:rowOff>171450</xdr:rowOff>
    </xdr:to>
    <xdr:sp macro="" textlink="">
      <xdr:nvSpPr>
        <xdr:cNvPr id="301" name="Text Box 3">
          <a:extLst>
            <a:ext uri="{FF2B5EF4-FFF2-40B4-BE49-F238E27FC236}">
              <a16:creationId xmlns:a16="http://schemas.microsoft.com/office/drawing/2014/main" id="{00000000-0008-0000-0900-00002D010000}"/>
            </a:ext>
          </a:extLst>
        </xdr:cNvPr>
        <xdr:cNvSpPr txBox="1">
          <a:spLocks noChangeArrowheads="1"/>
        </xdr:cNvSpPr>
      </xdr:nvSpPr>
      <xdr:spPr>
        <a:xfrm>
          <a:off x="1447800" y="231076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02" name="Text Box 3">
          <a:extLst>
            <a:ext uri="{FF2B5EF4-FFF2-40B4-BE49-F238E27FC236}">
              <a16:creationId xmlns:a16="http://schemas.microsoft.com/office/drawing/2014/main" id="{00000000-0008-0000-0900-00002E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03" name="Text Box 3">
          <a:extLst>
            <a:ext uri="{FF2B5EF4-FFF2-40B4-BE49-F238E27FC236}">
              <a16:creationId xmlns:a16="http://schemas.microsoft.com/office/drawing/2014/main" id="{00000000-0008-0000-0900-00002F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96</xdr:row>
      <xdr:rowOff>171450</xdr:rowOff>
    </xdr:to>
    <xdr:sp macro="" textlink="">
      <xdr:nvSpPr>
        <xdr:cNvPr id="304" name="Text Box 3">
          <a:extLst>
            <a:ext uri="{FF2B5EF4-FFF2-40B4-BE49-F238E27FC236}">
              <a16:creationId xmlns:a16="http://schemas.microsoft.com/office/drawing/2014/main" id="{00000000-0008-0000-0900-000030010000}"/>
            </a:ext>
          </a:extLst>
        </xdr:cNvPr>
        <xdr:cNvSpPr txBox="1">
          <a:spLocks noChangeArrowheads="1"/>
        </xdr:cNvSpPr>
      </xdr:nvSpPr>
      <xdr:spPr>
        <a:xfrm>
          <a:off x="1447800" y="231076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05" name="Text Box 3">
          <a:extLst>
            <a:ext uri="{FF2B5EF4-FFF2-40B4-BE49-F238E27FC236}">
              <a16:creationId xmlns:a16="http://schemas.microsoft.com/office/drawing/2014/main" id="{00000000-0008-0000-0900-000031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06" name="Text Box 3">
          <a:extLst>
            <a:ext uri="{FF2B5EF4-FFF2-40B4-BE49-F238E27FC236}">
              <a16:creationId xmlns:a16="http://schemas.microsoft.com/office/drawing/2014/main" id="{00000000-0008-0000-0900-000032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07" name="Text Box 3">
          <a:extLst>
            <a:ext uri="{FF2B5EF4-FFF2-40B4-BE49-F238E27FC236}">
              <a16:creationId xmlns:a16="http://schemas.microsoft.com/office/drawing/2014/main" id="{00000000-0008-0000-0900-000033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08" name="Text Box 3">
          <a:extLst>
            <a:ext uri="{FF2B5EF4-FFF2-40B4-BE49-F238E27FC236}">
              <a16:creationId xmlns:a16="http://schemas.microsoft.com/office/drawing/2014/main" id="{00000000-0008-0000-0900-000034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342900</xdr:colOff>
      <xdr:row>96</xdr:row>
      <xdr:rowOff>171450</xdr:rowOff>
    </xdr:to>
    <xdr:sp macro="" textlink="">
      <xdr:nvSpPr>
        <xdr:cNvPr id="309" name="Text Box 3">
          <a:extLst>
            <a:ext uri="{FF2B5EF4-FFF2-40B4-BE49-F238E27FC236}">
              <a16:creationId xmlns:a16="http://schemas.microsoft.com/office/drawing/2014/main" id="{00000000-0008-0000-0900-000035010000}"/>
            </a:ext>
          </a:extLst>
        </xdr:cNvPr>
        <xdr:cNvSpPr txBox="1">
          <a:spLocks noChangeArrowheads="1"/>
        </xdr:cNvSpPr>
      </xdr:nvSpPr>
      <xdr:spPr>
        <a:xfrm>
          <a:off x="1447800" y="231076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10" name="Text Box 3">
          <a:extLst>
            <a:ext uri="{FF2B5EF4-FFF2-40B4-BE49-F238E27FC236}">
              <a16:creationId xmlns:a16="http://schemas.microsoft.com/office/drawing/2014/main" id="{00000000-0008-0000-0900-000036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11" name="Text Box 3">
          <a:extLst>
            <a:ext uri="{FF2B5EF4-FFF2-40B4-BE49-F238E27FC236}">
              <a16:creationId xmlns:a16="http://schemas.microsoft.com/office/drawing/2014/main" id="{00000000-0008-0000-0900-000037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12" name="Text Box 3">
          <a:extLst>
            <a:ext uri="{FF2B5EF4-FFF2-40B4-BE49-F238E27FC236}">
              <a16:creationId xmlns:a16="http://schemas.microsoft.com/office/drawing/2014/main" id="{00000000-0008-0000-0900-000038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13" name="Text Box 3">
          <a:extLst>
            <a:ext uri="{FF2B5EF4-FFF2-40B4-BE49-F238E27FC236}">
              <a16:creationId xmlns:a16="http://schemas.microsoft.com/office/drawing/2014/main" id="{00000000-0008-0000-0900-000039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14" name="Text Box 3">
          <a:extLst>
            <a:ext uri="{FF2B5EF4-FFF2-40B4-BE49-F238E27FC236}">
              <a16:creationId xmlns:a16="http://schemas.microsoft.com/office/drawing/2014/main" id="{00000000-0008-0000-0900-00003A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96</xdr:row>
      <xdr:rowOff>0</xdr:rowOff>
    </xdr:from>
    <xdr:to>
      <xdr:col>2</xdr:col>
      <xdr:colOff>400050</xdr:colOff>
      <xdr:row>96</xdr:row>
      <xdr:rowOff>47625</xdr:rowOff>
    </xdr:to>
    <xdr:sp macro="" textlink="">
      <xdr:nvSpPr>
        <xdr:cNvPr id="315" name="Text Box 3">
          <a:extLst>
            <a:ext uri="{FF2B5EF4-FFF2-40B4-BE49-F238E27FC236}">
              <a16:creationId xmlns:a16="http://schemas.microsoft.com/office/drawing/2014/main" id="{00000000-0008-0000-0900-00003B010000}"/>
            </a:ext>
          </a:extLst>
        </xdr:cNvPr>
        <xdr:cNvSpPr txBox="1">
          <a:spLocks noChangeArrowheads="1"/>
        </xdr:cNvSpPr>
      </xdr:nvSpPr>
      <xdr:spPr>
        <a:xfrm>
          <a:off x="1447800"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96</xdr:row>
      <xdr:rowOff>0</xdr:rowOff>
    </xdr:from>
    <xdr:to>
      <xdr:col>2</xdr:col>
      <xdr:colOff>457200</xdr:colOff>
      <xdr:row>96</xdr:row>
      <xdr:rowOff>9525</xdr:rowOff>
    </xdr:to>
    <xdr:sp macro="" textlink="">
      <xdr:nvSpPr>
        <xdr:cNvPr id="316" name="Text Box 3">
          <a:extLst>
            <a:ext uri="{FF2B5EF4-FFF2-40B4-BE49-F238E27FC236}">
              <a16:creationId xmlns:a16="http://schemas.microsoft.com/office/drawing/2014/main" id="{00000000-0008-0000-0900-00003C010000}"/>
            </a:ext>
          </a:extLst>
        </xdr:cNvPr>
        <xdr:cNvSpPr txBox="1">
          <a:spLocks noChangeArrowheads="1"/>
        </xdr:cNvSpPr>
      </xdr:nvSpPr>
      <xdr:spPr>
        <a:xfrm>
          <a:off x="1504950" y="2310765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17" name="Text Box 3">
          <a:extLst>
            <a:ext uri="{FF2B5EF4-FFF2-40B4-BE49-F238E27FC236}">
              <a16:creationId xmlns:a16="http://schemas.microsoft.com/office/drawing/2014/main" id="{00000000-0008-0000-0900-00003D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18" name="Text Box 3">
          <a:extLst>
            <a:ext uri="{FF2B5EF4-FFF2-40B4-BE49-F238E27FC236}">
              <a16:creationId xmlns:a16="http://schemas.microsoft.com/office/drawing/2014/main" id="{00000000-0008-0000-0900-00003E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96</xdr:row>
      <xdr:rowOff>171450</xdr:rowOff>
    </xdr:to>
    <xdr:sp macro="" textlink="">
      <xdr:nvSpPr>
        <xdr:cNvPr id="319" name="Text Box 3">
          <a:extLst>
            <a:ext uri="{FF2B5EF4-FFF2-40B4-BE49-F238E27FC236}">
              <a16:creationId xmlns:a16="http://schemas.microsoft.com/office/drawing/2014/main" id="{00000000-0008-0000-0900-00003F010000}"/>
            </a:ext>
          </a:extLst>
        </xdr:cNvPr>
        <xdr:cNvSpPr txBox="1">
          <a:spLocks noChangeArrowheads="1"/>
        </xdr:cNvSpPr>
      </xdr:nvSpPr>
      <xdr:spPr>
        <a:xfrm>
          <a:off x="1457325" y="2310765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20" name="Text Box 3">
          <a:extLst>
            <a:ext uri="{FF2B5EF4-FFF2-40B4-BE49-F238E27FC236}">
              <a16:creationId xmlns:a16="http://schemas.microsoft.com/office/drawing/2014/main" id="{00000000-0008-0000-0900-000040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21" name="Text Box 3">
          <a:extLst>
            <a:ext uri="{FF2B5EF4-FFF2-40B4-BE49-F238E27FC236}">
              <a16:creationId xmlns:a16="http://schemas.microsoft.com/office/drawing/2014/main" id="{00000000-0008-0000-0900-000041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96</xdr:row>
      <xdr:rowOff>171450</xdr:rowOff>
    </xdr:to>
    <xdr:sp macro="" textlink="">
      <xdr:nvSpPr>
        <xdr:cNvPr id="322" name="Text Box 3">
          <a:extLst>
            <a:ext uri="{FF2B5EF4-FFF2-40B4-BE49-F238E27FC236}">
              <a16:creationId xmlns:a16="http://schemas.microsoft.com/office/drawing/2014/main" id="{00000000-0008-0000-0900-000042010000}"/>
            </a:ext>
          </a:extLst>
        </xdr:cNvPr>
        <xdr:cNvSpPr txBox="1">
          <a:spLocks noChangeArrowheads="1"/>
        </xdr:cNvSpPr>
      </xdr:nvSpPr>
      <xdr:spPr>
        <a:xfrm>
          <a:off x="1457325" y="2310765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23" name="Text Box 3">
          <a:extLst>
            <a:ext uri="{FF2B5EF4-FFF2-40B4-BE49-F238E27FC236}">
              <a16:creationId xmlns:a16="http://schemas.microsoft.com/office/drawing/2014/main" id="{00000000-0008-0000-0900-000043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24" name="Text Box 3">
          <a:extLst>
            <a:ext uri="{FF2B5EF4-FFF2-40B4-BE49-F238E27FC236}">
              <a16:creationId xmlns:a16="http://schemas.microsoft.com/office/drawing/2014/main" id="{00000000-0008-0000-0900-000044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96</xdr:row>
      <xdr:rowOff>171450</xdr:rowOff>
    </xdr:to>
    <xdr:sp macro="" textlink="">
      <xdr:nvSpPr>
        <xdr:cNvPr id="325" name="Text Box 3">
          <a:extLst>
            <a:ext uri="{FF2B5EF4-FFF2-40B4-BE49-F238E27FC236}">
              <a16:creationId xmlns:a16="http://schemas.microsoft.com/office/drawing/2014/main" id="{00000000-0008-0000-0900-000045010000}"/>
            </a:ext>
          </a:extLst>
        </xdr:cNvPr>
        <xdr:cNvSpPr txBox="1">
          <a:spLocks noChangeArrowheads="1"/>
        </xdr:cNvSpPr>
      </xdr:nvSpPr>
      <xdr:spPr>
        <a:xfrm>
          <a:off x="1457325" y="2310765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26" name="Text Box 3">
          <a:extLst>
            <a:ext uri="{FF2B5EF4-FFF2-40B4-BE49-F238E27FC236}">
              <a16:creationId xmlns:a16="http://schemas.microsoft.com/office/drawing/2014/main" id="{00000000-0008-0000-0900-000046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27" name="Text Box 3">
          <a:extLst>
            <a:ext uri="{FF2B5EF4-FFF2-40B4-BE49-F238E27FC236}">
              <a16:creationId xmlns:a16="http://schemas.microsoft.com/office/drawing/2014/main" id="{00000000-0008-0000-0900-000047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28" name="Text Box 3">
          <a:extLst>
            <a:ext uri="{FF2B5EF4-FFF2-40B4-BE49-F238E27FC236}">
              <a16:creationId xmlns:a16="http://schemas.microsoft.com/office/drawing/2014/main" id="{00000000-0008-0000-0900-000048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29" name="Text Box 3">
          <a:extLst>
            <a:ext uri="{FF2B5EF4-FFF2-40B4-BE49-F238E27FC236}">
              <a16:creationId xmlns:a16="http://schemas.microsoft.com/office/drawing/2014/main" id="{00000000-0008-0000-0900-000049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361950</xdr:colOff>
      <xdr:row>96</xdr:row>
      <xdr:rowOff>171450</xdr:rowOff>
    </xdr:to>
    <xdr:sp macro="" textlink="">
      <xdr:nvSpPr>
        <xdr:cNvPr id="330" name="Text Box 3">
          <a:extLst>
            <a:ext uri="{FF2B5EF4-FFF2-40B4-BE49-F238E27FC236}">
              <a16:creationId xmlns:a16="http://schemas.microsoft.com/office/drawing/2014/main" id="{00000000-0008-0000-0900-00004A010000}"/>
            </a:ext>
          </a:extLst>
        </xdr:cNvPr>
        <xdr:cNvSpPr txBox="1">
          <a:spLocks noChangeArrowheads="1"/>
        </xdr:cNvSpPr>
      </xdr:nvSpPr>
      <xdr:spPr>
        <a:xfrm>
          <a:off x="1457325" y="23107650"/>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31" name="Text Box 3">
          <a:extLst>
            <a:ext uri="{FF2B5EF4-FFF2-40B4-BE49-F238E27FC236}">
              <a16:creationId xmlns:a16="http://schemas.microsoft.com/office/drawing/2014/main" id="{00000000-0008-0000-0900-00004B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32" name="Text Box 3">
          <a:extLst>
            <a:ext uri="{FF2B5EF4-FFF2-40B4-BE49-F238E27FC236}">
              <a16:creationId xmlns:a16="http://schemas.microsoft.com/office/drawing/2014/main" id="{00000000-0008-0000-0900-00004C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33" name="Text Box 3">
          <a:extLst>
            <a:ext uri="{FF2B5EF4-FFF2-40B4-BE49-F238E27FC236}">
              <a16:creationId xmlns:a16="http://schemas.microsoft.com/office/drawing/2014/main" id="{00000000-0008-0000-0900-00004D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34" name="Text Box 3">
          <a:extLst>
            <a:ext uri="{FF2B5EF4-FFF2-40B4-BE49-F238E27FC236}">
              <a16:creationId xmlns:a16="http://schemas.microsoft.com/office/drawing/2014/main" id="{00000000-0008-0000-0900-00004E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35" name="Text Box 3">
          <a:extLst>
            <a:ext uri="{FF2B5EF4-FFF2-40B4-BE49-F238E27FC236}">
              <a16:creationId xmlns:a16="http://schemas.microsoft.com/office/drawing/2014/main" id="{00000000-0008-0000-0900-00004F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96</xdr:row>
      <xdr:rowOff>0</xdr:rowOff>
    </xdr:from>
    <xdr:to>
      <xdr:col>2</xdr:col>
      <xdr:colOff>409575</xdr:colOff>
      <xdr:row>96</xdr:row>
      <xdr:rowOff>47625</xdr:rowOff>
    </xdr:to>
    <xdr:sp macro="" textlink="">
      <xdr:nvSpPr>
        <xdr:cNvPr id="336" name="Text Box 3">
          <a:extLst>
            <a:ext uri="{FF2B5EF4-FFF2-40B4-BE49-F238E27FC236}">
              <a16:creationId xmlns:a16="http://schemas.microsoft.com/office/drawing/2014/main" id="{00000000-0008-0000-0900-000050010000}"/>
            </a:ext>
          </a:extLst>
        </xdr:cNvPr>
        <xdr:cNvSpPr txBox="1">
          <a:spLocks noChangeArrowheads="1"/>
        </xdr:cNvSpPr>
      </xdr:nvSpPr>
      <xdr:spPr>
        <a:xfrm>
          <a:off x="1457325" y="23107650"/>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96</xdr:row>
      <xdr:rowOff>0</xdr:rowOff>
    </xdr:from>
    <xdr:to>
      <xdr:col>2</xdr:col>
      <xdr:colOff>476250</xdr:colOff>
      <xdr:row>96</xdr:row>
      <xdr:rowOff>9525</xdr:rowOff>
    </xdr:to>
    <xdr:sp macro="" textlink="">
      <xdr:nvSpPr>
        <xdr:cNvPr id="337" name="Text Box 3">
          <a:extLst>
            <a:ext uri="{FF2B5EF4-FFF2-40B4-BE49-F238E27FC236}">
              <a16:creationId xmlns:a16="http://schemas.microsoft.com/office/drawing/2014/main" id="{00000000-0008-0000-0900-000051010000}"/>
            </a:ext>
          </a:extLst>
        </xdr:cNvPr>
        <xdr:cNvSpPr txBox="1">
          <a:spLocks noChangeArrowheads="1"/>
        </xdr:cNvSpPr>
      </xdr:nvSpPr>
      <xdr:spPr>
        <a:xfrm>
          <a:off x="1514475" y="23107650"/>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38" name="Text Box 3">
          <a:extLst>
            <a:ext uri="{FF2B5EF4-FFF2-40B4-BE49-F238E27FC236}">
              <a16:creationId xmlns:a16="http://schemas.microsoft.com/office/drawing/2014/main" id="{00000000-0008-0000-0900-000052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39" name="Text Box 3">
          <a:extLst>
            <a:ext uri="{FF2B5EF4-FFF2-40B4-BE49-F238E27FC236}">
              <a16:creationId xmlns:a16="http://schemas.microsoft.com/office/drawing/2014/main" id="{00000000-0008-0000-0900-000053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167</xdr:row>
      <xdr:rowOff>66675</xdr:rowOff>
    </xdr:to>
    <xdr:sp macro="" textlink="">
      <xdr:nvSpPr>
        <xdr:cNvPr id="340" name="Text Box 3">
          <a:extLst>
            <a:ext uri="{FF2B5EF4-FFF2-40B4-BE49-F238E27FC236}">
              <a16:creationId xmlns:a16="http://schemas.microsoft.com/office/drawing/2014/main" id="{00000000-0008-0000-0900-000054010000}"/>
            </a:ext>
          </a:extLst>
        </xdr:cNvPr>
        <xdr:cNvSpPr txBox="1">
          <a:spLocks noChangeArrowheads="1"/>
        </xdr:cNvSpPr>
      </xdr:nvSpPr>
      <xdr:spPr>
        <a:xfrm>
          <a:off x="1447800" y="391382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41" name="Text Box 3">
          <a:extLst>
            <a:ext uri="{FF2B5EF4-FFF2-40B4-BE49-F238E27FC236}">
              <a16:creationId xmlns:a16="http://schemas.microsoft.com/office/drawing/2014/main" id="{00000000-0008-0000-0900-000055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42" name="Text Box 3">
          <a:extLst>
            <a:ext uri="{FF2B5EF4-FFF2-40B4-BE49-F238E27FC236}">
              <a16:creationId xmlns:a16="http://schemas.microsoft.com/office/drawing/2014/main" id="{00000000-0008-0000-0900-000056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167</xdr:row>
      <xdr:rowOff>66675</xdr:rowOff>
    </xdr:to>
    <xdr:sp macro="" textlink="">
      <xdr:nvSpPr>
        <xdr:cNvPr id="343" name="Text Box 3">
          <a:extLst>
            <a:ext uri="{FF2B5EF4-FFF2-40B4-BE49-F238E27FC236}">
              <a16:creationId xmlns:a16="http://schemas.microsoft.com/office/drawing/2014/main" id="{00000000-0008-0000-0900-000057010000}"/>
            </a:ext>
          </a:extLst>
        </xdr:cNvPr>
        <xdr:cNvSpPr txBox="1">
          <a:spLocks noChangeArrowheads="1"/>
        </xdr:cNvSpPr>
      </xdr:nvSpPr>
      <xdr:spPr>
        <a:xfrm>
          <a:off x="1447800" y="391382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44" name="Text Box 3">
          <a:extLst>
            <a:ext uri="{FF2B5EF4-FFF2-40B4-BE49-F238E27FC236}">
              <a16:creationId xmlns:a16="http://schemas.microsoft.com/office/drawing/2014/main" id="{00000000-0008-0000-0900-000058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45" name="Text Box 3">
          <a:extLst>
            <a:ext uri="{FF2B5EF4-FFF2-40B4-BE49-F238E27FC236}">
              <a16:creationId xmlns:a16="http://schemas.microsoft.com/office/drawing/2014/main" id="{00000000-0008-0000-0900-000059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167</xdr:row>
      <xdr:rowOff>66675</xdr:rowOff>
    </xdr:to>
    <xdr:sp macro="" textlink="">
      <xdr:nvSpPr>
        <xdr:cNvPr id="346" name="Text Box 3">
          <a:extLst>
            <a:ext uri="{FF2B5EF4-FFF2-40B4-BE49-F238E27FC236}">
              <a16:creationId xmlns:a16="http://schemas.microsoft.com/office/drawing/2014/main" id="{00000000-0008-0000-0900-00005A010000}"/>
            </a:ext>
          </a:extLst>
        </xdr:cNvPr>
        <xdr:cNvSpPr txBox="1">
          <a:spLocks noChangeArrowheads="1"/>
        </xdr:cNvSpPr>
      </xdr:nvSpPr>
      <xdr:spPr>
        <a:xfrm>
          <a:off x="1447800" y="391382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47" name="Text Box 3">
          <a:extLst>
            <a:ext uri="{FF2B5EF4-FFF2-40B4-BE49-F238E27FC236}">
              <a16:creationId xmlns:a16="http://schemas.microsoft.com/office/drawing/2014/main" id="{00000000-0008-0000-0900-00005B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48" name="Text Box 3">
          <a:extLst>
            <a:ext uri="{FF2B5EF4-FFF2-40B4-BE49-F238E27FC236}">
              <a16:creationId xmlns:a16="http://schemas.microsoft.com/office/drawing/2014/main" id="{00000000-0008-0000-0900-00005C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49" name="Text Box 3">
          <a:extLst>
            <a:ext uri="{FF2B5EF4-FFF2-40B4-BE49-F238E27FC236}">
              <a16:creationId xmlns:a16="http://schemas.microsoft.com/office/drawing/2014/main" id="{00000000-0008-0000-0900-00005D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50" name="Text Box 3">
          <a:extLst>
            <a:ext uri="{FF2B5EF4-FFF2-40B4-BE49-F238E27FC236}">
              <a16:creationId xmlns:a16="http://schemas.microsoft.com/office/drawing/2014/main" id="{00000000-0008-0000-0900-00005E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167</xdr:row>
      <xdr:rowOff>66675</xdr:rowOff>
    </xdr:to>
    <xdr:sp macro="" textlink="">
      <xdr:nvSpPr>
        <xdr:cNvPr id="351" name="Text Box 3">
          <a:extLst>
            <a:ext uri="{FF2B5EF4-FFF2-40B4-BE49-F238E27FC236}">
              <a16:creationId xmlns:a16="http://schemas.microsoft.com/office/drawing/2014/main" id="{00000000-0008-0000-0900-00005F010000}"/>
            </a:ext>
          </a:extLst>
        </xdr:cNvPr>
        <xdr:cNvSpPr txBox="1">
          <a:spLocks noChangeArrowheads="1"/>
        </xdr:cNvSpPr>
      </xdr:nvSpPr>
      <xdr:spPr>
        <a:xfrm>
          <a:off x="1447800" y="391382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52" name="Text Box 3">
          <a:extLst>
            <a:ext uri="{FF2B5EF4-FFF2-40B4-BE49-F238E27FC236}">
              <a16:creationId xmlns:a16="http://schemas.microsoft.com/office/drawing/2014/main" id="{00000000-0008-0000-0900-000060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53" name="Text Box 3">
          <a:extLst>
            <a:ext uri="{FF2B5EF4-FFF2-40B4-BE49-F238E27FC236}">
              <a16:creationId xmlns:a16="http://schemas.microsoft.com/office/drawing/2014/main" id="{00000000-0008-0000-0900-000061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54" name="Text Box 3">
          <a:extLst>
            <a:ext uri="{FF2B5EF4-FFF2-40B4-BE49-F238E27FC236}">
              <a16:creationId xmlns:a16="http://schemas.microsoft.com/office/drawing/2014/main" id="{00000000-0008-0000-0900-000062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55" name="Text Box 3">
          <a:extLst>
            <a:ext uri="{FF2B5EF4-FFF2-40B4-BE49-F238E27FC236}">
              <a16:creationId xmlns:a16="http://schemas.microsoft.com/office/drawing/2014/main" id="{00000000-0008-0000-0900-000063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56" name="Text Box 3">
          <a:extLst>
            <a:ext uri="{FF2B5EF4-FFF2-40B4-BE49-F238E27FC236}">
              <a16:creationId xmlns:a16="http://schemas.microsoft.com/office/drawing/2014/main" id="{00000000-0008-0000-0900-000064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57" name="Text Box 3">
          <a:extLst>
            <a:ext uri="{FF2B5EF4-FFF2-40B4-BE49-F238E27FC236}">
              <a16:creationId xmlns:a16="http://schemas.microsoft.com/office/drawing/2014/main" id="{00000000-0008-0000-0900-000065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58" name="Text Box 3">
          <a:extLst>
            <a:ext uri="{FF2B5EF4-FFF2-40B4-BE49-F238E27FC236}">
              <a16:creationId xmlns:a16="http://schemas.microsoft.com/office/drawing/2014/main" id="{00000000-0008-0000-0900-000066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59" name="Text Box 3">
          <a:extLst>
            <a:ext uri="{FF2B5EF4-FFF2-40B4-BE49-F238E27FC236}">
              <a16:creationId xmlns:a16="http://schemas.microsoft.com/office/drawing/2014/main" id="{00000000-0008-0000-0900-000067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60" name="Text Box 3">
          <a:extLst>
            <a:ext uri="{FF2B5EF4-FFF2-40B4-BE49-F238E27FC236}">
              <a16:creationId xmlns:a16="http://schemas.microsoft.com/office/drawing/2014/main" id="{00000000-0008-0000-0900-000068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167</xdr:row>
      <xdr:rowOff>66675</xdr:rowOff>
    </xdr:to>
    <xdr:sp macro="" textlink="">
      <xdr:nvSpPr>
        <xdr:cNvPr id="361" name="Text Box 3">
          <a:extLst>
            <a:ext uri="{FF2B5EF4-FFF2-40B4-BE49-F238E27FC236}">
              <a16:creationId xmlns:a16="http://schemas.microsoft.com/office/drawing/2014/main" id="{00000000-0008-0000-0900-000069010000}"/>
            </a:ext>
          </a:extLst>
        </xdr:cNvPr>
        <xdr:cNvSpPr txBox="1">
          <a:spLocks noChangeArrowheads="1"/>
        </xdr:cNvSpPr>
      </xdr:nvSpPr>
      <xdr:spPr>
        <a:xfrm>
          <a:off x="1457325" y="391382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62" name="Text Box 3">
          <a:extLst>
            <a:ext uri="{FF2B5EF4-FFF2-40B4-BE49-F238E27FC236}">
              <a16:creationId xmlns:a16="http://schemas.microsoft.com/office/drawing/2014/main" id="{00000000-0008-0000-0900-00006A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63" name="Text Box 3">
          <a:extLst>
            <a:ext uri="{FF2B5EF4-FFF2-40B4-BE49-F238E27FC236}">
              <a16:creationId xmlns:a16="http://schemas.microsoft.com/office/drawing/2014/main" id="{00000000-0008-0000-0900-00006B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167</xdr:row>
      <xdr:rowOff>66675</xdr:rowOff>
    </xdr:to>
    <xdr:sp macro="" textlink="">
      <xdr:nvSpPr>
        <xdr:cNvPr id="364" name="Text Box 3">
          <a:extLst>
            <a:ext uri="{FF2B5EF4-FFF2-40B4-BE49-F238E27FC236}">
              <a16:creationId xmlns:a16="http://schemas.microsoft.com/office/drawing/2014/main" id="{00000000-0008-0000-0900-00006C010000}"/>
            </a:ext>
          </a:extLst>
        </xdr:cNvPr>
        <xdr:cNvSpPr txBox="1">
          <a:spLocks noChangeArrowheads="1"/>
        </xdr:cNvSpPr>
      </xdr:nvSpPr>
      <xdr:spPr>
        <a:xfrm>
          <a:off x="1457325" y="391382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65" name="Text Box 3">
          <a:extLst>
            <a:ext uri="{FF2B5EF4-FFF2-40B4-BE49-F238E27FC236}">
              <a16:creationId xmlns:a16="http://schemas.microsoft.com/office/drawing/2014/main" id="{00000000-0008-0000-0900-00006D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66" name="Text Box 3">
          <a:extLst>
            <a:ext uri="{FF2B5EF4-FFF2-40B4-BE49-F238E27FC236}">
              <a16:creationId xmlns:a16="http://schemas.microsoft.com/office/drawing/2014/main" id="{00000000-0008-0000-0900-00006E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167</xdr:row>
      <xdr:rowOff>66675</xdr:rowOff>
    </xdr:to>
    <xdr:sp macro="" textlink="">
      <xdr:nvSpPr>
        <xdr:cNvPr id="367" name="Text Box 3">
          <a:extLst>
            <a:ext uri="{FF2B5EF4-FFF2-40B4-BE49-F238E27FC236}">
              <a16:creationId xmlns:a16="http://schemas.microsoft.com/office/drawing/2014/main" id="{00000000-0008-0000-0900-00006F010000}"/>
            </a:ext>
          </a:extLst>
        </xdr:cNvPr>
        <xdr:cNvSpPr txBox="1">
          <a:spLocks noChangeArrowheads="1"/>
        </xdr:cNvSpPr>
      </xdr:nvSpPr>
      <xdr:spPr>
        <a:xfrm>
          <a:off x="1457325" y="391382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68" name="Text Box 3">
          <a:extLst>
            <a:ext uri="{FF2B5EF4-FFF2-40B4-BE49-F238E27FC236}">
              <a16:creationId xmlns:a16="http://schemas.microsoft.com/office/drawing/2014/main" id="{00000000-0008-0000-0900-000070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69" name="Text Box 3">
          <a:extLst>
            <a:ext uri="{FF2B5EF4-FFF2-40B4-BE49-F238E27FC236}">
              <a16:creationId xmlns:a16="http://schemas.microsoft.com/office/drawing/2014/main" id="{00000000-0008-0000-0900-000071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70" name="Text Box 3">
          <a:extLst>
            <a:ext uri="{FF2B5EF4-FFF2-40B4-BE49-F238E27FC236}">
              <a16:creationId xmlns:a16="http://schemas.microsoft.com/office/drawing/2014/main" id="{00000000-0008-0000-0900-000072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71" name="Text Box 3">
          <a:extLst>
            <a:ext uri="{FF2B5EF4-FFF2-40B4-BE49-F238E27FC236}">
              <a16:creationId xmlns:a16="http://schemas.microsoft.com/office/drawing/2014/main" id="{00000000-0008-0000-0900-000073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167</xdr:row>
      <xdr:rowOff>66675</xdr:rowOff>
    </xdr:to>
    <xdr:sp macro="" textlink="">
      <xdr:nvSpPr>
        <xdr:cNvPr id="372" name="Text Box 3">
          <a:extLst>
            <a:ext uri="{FF2B5EF4-FFF2-40B4-BE49-F238E27FC236}">
              <a16:creationId xmlns:a16="http://schemas.microsoft.com/office/drawing/2014/main" id="{00000000-0008-0000-0900-000074010000}"/>
            </a:ext>
          </a:extLst>
        </xdr:cNvPr>
        <xdr:cNvSpPr txBox="1">
          <a:spLocks noChangeArrowheads="1"/>
        </xdr:cNvSpPr>
      </xdr:nvSpPr>
      <xdr:spPr>
        <a:xfrm>
          <a:off x="1457325" y="391382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73" name="Text Box 3">
          <a:extLst>
            <a:ext uri="{FF2B5EF4-FFF2-40B4-BE49-F238E27FC236}">
              <a16:creationId xmlns:a16="http://schemas.microsoft.com/office/drawing/2014/main" id="{00000000-0008-0000-0900-000075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74" name="Text Box 3">
          <a:extLst>
            <a:ext uri="{FF2B5EF4-FFF2-40B4-BE49-F238E27FC236}">
              <a16:creationId xmlns:a16="http://schemas.microsoft.com/office/drawing/2014/main" id="{00000000-0008-0000-0900-000076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75" name="Text Box 3">
          <a:extLst>
            <a:ext uri="{FF2B5EF4-FFF2-40B4-BE49-F238E27FC236}">
              <a16:creationId xmlns:a16="http://schemas.microsoft.com/office/drawing/2014/main" id="{00000000-0008-0000-0900-000077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76" name="Text Box 3">
          <a:extLst>
            <a:ext uri="{FF2B5EF4-FFF2-40B4-BE49-F238E27FC236}">
              <a16:creationId xmlns:a16="http://schemas.microsoft.com/office/drawing/2014/main" id="{00000000-0008-0000-0900-000078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77" name="Text Box 3">
          <a:extLst>
            <a:ext uri="{FF2B5EF4-FFF2-40B4-BE49-F238E27FC236}">
              <a16:creationId xmlns:a16="http://schemas.microsoft.com/office/drawing/2014/main" id="{00000000-0008-0000-0900-000079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378" name="Text Box 3">
          <a:extLst>
            <a:ext uri="{FF2B5EF4-FFF2-40B4-BE49-F238E27FC236}">
              <a16:creationId xmlns:a16="http://schemas.microsoft.com/office/drawing/2014/main" id="{00000000-0008-0000-0900-00007A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379" name="Text Box 3">
          <a:extLst>
            <a:ext uri="{FF2B5EF4-FFF2-40B4-BE49-F238E27FC236}">
              <a16:creationId xmlns:a16="http://schemas.microsoft.com/office/drawing/2014/main" id="{00000000-0008-0000-0900-00007B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80" name="Text Box 3">
          <a:extLst>
            <a:ext uri="{FF2B5EF4-FFF2-40B4-BE49-F238E27FC236}">
              <a16:creationId xmlns:a16="http://schemas.microsoft.com/office/drawing/2014/main" id="{00000000-0008-0000-0900-00007C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81" name="Text Box 3">
          <a:extLst>
            <a:ext uri="{FF2B5EF4-FFF2-40B4-BE49-F238E27FC236}">
              <a16:creationId xmlns:a16="http://schemas.microsoft.com/office/drawing/2014/main" id="{00000000-0008-0000-0900-00007D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166</xdr:row>
      <xdr:rowOff>171450</xdr:rowOff>
    </xdr:to>
    <xdr:sp macro="" textlink="">
      <xdr:nvSpPr>
        <xdr:cNvPr id="382" name="Text Box 3">
          <a:extLst>
            <a:ext uri="{FF2B5EF4-FFF2-40B4-BE49-F238E27FC236}">
              <a16:creationId xmlns:a16="http://schemas.microsoft.com/office/drawing/2014/main" id="{00000000-0008-0000-0900-00007E010000}"/>
            </a:ext>
          </a:extLst>
        </xdr:cNvPr>
        <xdr:cNvSpPr txBox="1">
          <a:spLocks noChangeArrowheads="1"/>
        </xdr:cNvSpPr>
      </xdr:nvSpPr>
      <xdr:spPr>
        <a:xfrm>
          <a:off x="1447800" y="391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83" name="Text Box 3">
          <a:extLst>
            <a:ext uri="{FF2B5EF4-FFF2-40B4-BE49-F238E27FC236}">
              <a16:creationId xmlns:a16="http://schemas.microsoft.com/office/drawing/2014/main" id="{00000000-0008-0000-0900-00007F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84" name="Text Box 3">
          <a:extLst>
            <a:ext uri="{FF2B5EF4-FFF2-40B4-BE49-F238E27FC236}">
              <a16:creationId xmlns:a16="http://schemas.microsoft.com/office/drawing/2014/main" id="{00000000-0008-0000-0900-000080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166</xdr:row>
      <xdr:rowOff>171450</xdr:rowOff>
    </xdr:to>
    <xdr:sp macro="" textlink="">
      <xdr:nvSpPr>
        <xdr:cNvPr id="385" name="Text Box 3">
          <a:extLst>
            <a:ext uri="{FF2B5EF4-FFF2-40B4-BE49-F238E27FC236}">
              <a16:creationId xmlns:a16="http://schemas.microsoft.com/office/drawing/2014/main" id="{00000000-0008-0000-0900-000081010000}"/>
            </a:ext>
          </a:extLst>
        </xdr:cNvPr>
        <xdr:cNvSpPr txBox="1">
          <a:spLocks noChangeArrowheads="1"/>
        </xdr:cNvSpPr>
      </xdr:nvSpPr>
      <xdr:spPr>
        <a:xfrm>
          <a:off x="1447800" y="391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86" name="Text Box 3">
          <a:extLst>
            <a:ext uri="{FF2B5EF4-FFF2-40B4-BE49-F238E27FC236}">
              <a16:creationId xmlns:a16="http://schemas.microsoft.com/office/drawing/2014/main" id="{00000000-0008-0000-0900-000082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87" name="Text Box 3">
          <a:extLst>
            <a:ext uri="{FF2B5EF4-FFF2-40B4-BE49-F238E27FC236}">
              <a16:creationId xmlns:a16="http://schemas.microsoft.com/office/drawing/2014/main" id="{00000000-0008-0000-0900-000083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166</xdr:row>
      <xdr:rowOff>171450</xdr:rowOff>
    </xdr:to>
    <xdr:sp macro="" textlink="">
      <xdr:nvSpPr>
        <xdr:cNvPr id="388" name="Text Box 3">
          <a:extLst>
            <a:ext uri="{FF2B5EF4-FFF2-40B4-BE49-F238E27FC236}">
              <a16:creationId xmlns:a16="http://schemas.microsoft.com/office/drawing/2014/main" id="{00000000-0008-0000-0900-000084010000}"/>
            </a:ext>
          </a:extLst>
        </xdr:cNvPr>
        <xdr:cNvSpPr txBox="1">
          <a:spLocks noChangeArrowheads="1"/>
        </xdr:cNvSpPr>
      </xdr:nvSpPr>
      <xdr:spPr>
        <a:xfrm>
          <a:off x="1447800" y="391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89" name="Text Box 3">
          <a:extLst>
            <a:ext uri="{FF2B5EF4-FFF2-40B4-BE49-F238E27FC236}">
              <a16:creationId xmlns:a16="http://schemas.microsoft.com/office/drawing/2014/main" id="{00000000-0008-0000-0900-000085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90" name="Text Box 3">
          <a:extLst>
            <a:ext uri="{FF2B5EF4-FFF2-40B4-BE49-F238E27FC236}">
              <a16:creationId xmlns:a16="http://schemas.microsoft.com/office/drawing/2014/main" id="{00000000-0008-0000-0900-000086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91" name="Text Box 3">
          <a:extLst>
            <a:ext uri="{FF2B5EF4-FFF2-40B4-BE49-F238E27FC236}">
              <a16:creationId xmlns:a16="http://schemas.microsoft.com/office/drawing/2014/main" id="{00000000-0008-0000-0900-000087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92" name="Text Box 3">
          <a:extLst>
            <a:ext uri="{FF2B5EF4-FFF2-40B4-BE49-F238E27FC236}">
              <a16:creationId xmlns:a16="http://schemas.microsoft.com/office/drawing/2014/main" id="{00000000-0008-0000-0900-000088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342900</xdr:colOff>
      <xdr:row>166</xdr:row>
      <xdr:rowOff>171450</xdr:rowOff>
    </xdr:to>
    <xdr:sp macro="" textlink="">
      <xdr:nvSpPr>
        <xdr:cNvPr id="393" name="Text Box 3">
          <a:extLst>
            <a:ext uri="{FF2B5EF4-FFF2-40B4-BE49-F238E27FC236}">
              <a16:creationId xmlns:a16="http://schemas.microsoft.com/office/drawing/2014/main" id="{00000000-0008-0000-0900-000089010000}"/>
            </a:ext>
          </a:extLst>
        </xdr:cNvPr>
        <xdr:cNvSpPr txBox="1">
          <a:spLocks noChangeArrowheads="1"/>
        </xdr:cNvSpPr>
      </xdr:nvSpPr>
      <xdr:spPr>
        <a:xfrm>
          <a:off x="1447800" y="391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94" name="Text Box 3">
          <a:extLst>
            <a:ext uri="{FF2B5EF4-FFF2-40B4-BE49-F238E27FC236}">
              <a16:creationId xmlns:a16="http://schemas.microsoft.com/office/drawing/2014/main" id="{00000000-0008-0000-0900-00008A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95" name="Text Box 3">
          <a:extLst>
            <a:ext uri="{FF2B5EF4-FFF2-40B4-BE49-F238E27FC236}">
              <a16:creationId xmlns:a16="http://schemas.microsoft.com/office/drawing/2014/main" id="{00000000-0008-0000-0900-00008B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96" name="Text Box 3">
          <a:extLst>
            <a:ext uri="{FF2B5EF4-FFF2-40B4-BE49-F238E27FC236}">
              <a16:creationId xmlns:a16="http://schemas.microsoft.com/office/drawing/2014/main" id="{00000000-0008-0000-0900-00008C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97" name="Text Box 3">
          <a:extLst>
            <a:ext uri="{FF2B5EF4-FFF2-40B4-BE49-F238E27FC236}">
              <a16:creationId xmlns:a16="http://schemas.microsoft.com/office/drawing/2014/main" id="{00000000-0008-0000-0900-00008D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398" name="Text Box 3">
          <a:extLst>
            <a:ext uri="{FF2B5EF4-FFF2-40B4-BE49-F238E27FC236}">
              <a16:creationId xmlns:a16="http://schemas.microsoft.com/office/drawing/2014/main" id="{00000000-0008-0000-0900-00008E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166</xdr:row>
      <xdr:rowOff>0</xdr:rowOff>
    </xdr:from>
    <xdr:to>
      <xdr:col>2</xdr:col>
      <xdr:colOff>400050</xdr:colOff>
      <xdr:row>166</xdr:row>
      <xdr:rowOff>47625</xdr:rowOff>
    </xdr:to>
    <xdr:sp macro="" textlink="">
      <xdr:nvSpPr>
        <xdr:cNvPr id="399" name="Text Box 3">
          <a:extLst>
            <a:ext uri="{FF2B5EF4-FFF2-40B4-BE49-F238E27FC236}">
              <a16:creationId xmlns:a16="http://schemas.microsoft.com/office/drawing/2014/main" id="{00000000-0008-0000-0900-00008F010000}"/>
            </a:ext>
          </a:extLst>
        </xdr:cNvPr>
        <xdr:cNvSpPr txBox="1">
          <a:spLocks noChangeArrowheads="1"/>
        </xdr:cNvSpPr>
      </xdr:nvSpPr>
      <xdr:spPr>
        <a:xfrm>
          <a:off x="1447800"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323850</xdr:colOff>
      <xdr:row>166</xdr:row>
      <xdr:rowOff>0</xdr:rowOff>
    </xdr:from>
    <xdr:to>
      <xdr:col>2</xdr:col>
      <xdr:colOff>457200</xdr:colOff>
      <xdr:row>166</xdr:row>
      <xdr:rowOff>9525</xdr:rowOff>
    </xdr:to>
    <xdr:sp macro="" textlink="">
      <xdr:nvSpPr>
        <xdr:cNvPr id="400" name="Text Box 3">
          <a:extLst>
            <a:ext uri="{FF2B5EF4-FFF2-40B4-BE49-F238E27FC236}">
              <a16:creationId xmlns:a16="http://schemas.microsoft.com/office/drawing/2014/main" id="{00000000-0008-0000-0900-000090010000}"/>
            </a:ext>
          </a:extLst>
        </xdr:cNvPr>
        <xdr:cNvSpPr txBox="1">
          <a:spLocks noChangeArrowheads="1"/>
        </xdr:cNvSpPr>
      </xdr:nvSpPr>
      <xdr:spPr>
        <a:xfrm>
          <a:off x="1504950" y="39138225"/>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01" name="Text Box 3">
          <a:extLst>
            <a:ext uri="{FF2B5EF4-FFF2-40B4-BE49-F238E27FC236}">
              <a16:creationId xmlns:a16="http://schemas.microsoft.com/office/drawing/2014/main" id="{00000000-0008-0000-0900-000091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02" name="Text Box 3">
          <a:extLst>
            <a:ext uri="{FF2B5EF4-FFF2-40B4-BE49-F238E27FC236}">
              <a16:creationId xmlns:a16="http://schemas.microsoft.com/office/drawing/2014/main" id="{00000000-0008-0000-0900-000092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166</xdr:row>
      <xdr:rowOff>171450</xdr:rowOff>
    </xdr:to>
    <xdr:sp macro="" textlink="">
      <xdr:nvSpPr>
        <xdr:cNvPr id="403" name="Text Box 3">
          <a:extLst>
            <a:ext uri="{FF2B5EF4-FFF2-40B4-BE49-F238E27FC236}">
              <a16:creationId xmlns:a16="http://schemas.microsoft.com/office/drawing/2014/main" id="{00000000-0008-0000-0900-000093010000}"/>
            </a:ext>
          </a:extLst>
        </xdr:cNvPr>
        <xdr:cNvSpPr txBox="1">
          <a:spLocks noChangeArrowheads="1"/>
        </xdr:cNvSpPr>
      </xdr:nvSpPr>
      <xdr:spPr>
        <a:xfrm>
          <a:off x="1457325" y="391382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04" name="Text Box 3">
          <a:extLst>
            <a:ext uri="{FF2B5EF4-FFF2-40B4-BE49-F238E27FC236}">
              <a16:creationId xmlns:a16="http://schemas.microsoft.com/office/drawing/2014/main" id="{00000000-0008-0000-0900-000094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05" name="Text Box 3">
          <a:extLst>
            <a:ext uri="{FF2B5EF4-FFF2-40B4-BE49-F238E27FC236}">
              <a16:creationId xmlns:a16="http://schemas.microsoft.com/office/drawing/2014/main" id="{00000000-0008-0000-0900-000095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166</xdr:row>
      <xdr:rowOff>171450</xdr:rowOff>
    </xdr:to>
    <xdr:sp macro="" textlink="">
      <xdr:nvSpPr>
        <xdr:cNvPr id="406" name="Text Box 3">
          <a:extLst>
            <a:ext uri="{FF2B5EF4-FFF2-40B4-BE49-F238E27FC236}">
              <a16:creationId xmlns:a16="http://schemas.microsoft.com/office/drawing/2014/main" id="{00000000-0008-0000-0900-000096010000}"/>
            </a:ext>
          </a:extLst>
        </xdr:cNvPr>
        <xdr:cNvSpPr txBox="1">
          <a:spLocks noChangeArrowheads="1"/>
        </xdr:cNvSpPr>
      </xdr:nvSpPr>
      <xdr:spPr>
        <a:xfrm>
          <a:off x="1457325" y="391382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07" name="Text Box 3">
          <a:extLst>
            <a:ext uri="{FF2B5EF4-FFF2-40B4-BE49-F238E27FC236}">
              <a16:creationId xmlns:a16="http://schemas.microsoft.com/office/drawing/2014/main" id="{00000000-0008-0000-0900-000097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08" name="Text Box 3">
          <a:extLst>
            <a:ext uri="{FF2B5EF4-FFF2-40B4-BE49-F238E27FC236}">
              <a16:creationId xmlns:a16="http://schemas.microsoft.com/office/drawing/2014/main" id="{00000000-0008-0000-0900-000098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166</xdr:row>
      <xdr:rowOff>171450</xdr:rowOff>
    </xdr:to>
    <xdr:sp macro="" textlink="">
      <xdr:nvSpPr>
        <xdr:cNvPr id="409" name="Text Box 3">
          <a:extLst>
            <a:ext uri="{FF2B5EF4-FFF2-40B4-BE49-F238E27FC236}">
              <a16:creationId xmlns:a16="http://schemas.microsoft.com/office/drawing/2014/main" id="{00000000-0008-0000-0900-000099010000}"/>
            </a:ext>
          </a:extLst>
        </xdr:cNvPr>
        <xdr:cNvSpPr txBox="1">
          <a:spLocks noChangeArrowheads="1"/>
        </xdr:cNvSpPr>
      </xdr:nvSpPr>
      <xdr:spPr>
        <a:xfrm>
          <a:off x="1457325" y="391382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10" name="Text Box 3">
          <a:extLst>
            <a:ext uri="{FF2B5EF4-FFF2-40B4-BE49-F238E27FC236}">
              <a16:creationId xmlns:a16="http://schemas.microsoft.com/office/drawing/2014/main" id="{00000000-0008-0000-0900-00009A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11" name="Text Box 3">
          <a:extLst>
            <a:ext uri="{FF2B5EF4-FFF2-40B4-BE49-F238E27FC236}">
              <a16:creationId xmlns:a16="http://schemas.microsoft.com/office/drawing/2014/main" id="{00000000-0008-0000-0900-00009B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12" name="Text Box 3">
          <a:extLst>
            <a:ext uri="{FF2B5EF4-FFF2-40B4-BE49-F238E27FC236}">
              <a16:creationId xmlns:a16="http://schemas.microsoft.com/office/drawing/2014/main" id="{00000000-0008-0000-0900-00009C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13" name="Text Box 3">
          <a:extLst>
            <a:ext uri="{FF2B5EF4-FFF2-40B4-BE49-F238E27FC236}">
              <a16:creationId xmlns:a16="http://schemas.microsoft.com/office/drawing/2014/main" id="{00000000-0008-0000-0900-00009D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361950</xdr:colOff>
      <xdr:row>166</xdr:row>
      <xdr:rowOff>171450</xdr:rowOff>
    </xdr:to>
    <xdr:sp macro="" textlink="">
      <xdr:nvSpPr>
        <xdr:cNvPr id="414" name="Text Box 3">
          <a:extLst>
            <a:ext uri="{FF2B5EF4-FFF2-40B4-BE49-F238E27FC236}">
              <a16:creationId xmlns:a16="http://schemas.microsoft.com/office/drawing/2014/main" id="{00000000-0008-0000-0900-00009E010000}"/>
            </a:ext>
          </a:extLst>
        </xdr:cNvPr>
        <xdr:cNvSpPr txBox="1">
          <a:spLocks noChangeArrowheads="1"/>
        </xdr:cNvSpPr>
      </xdr:nvSpPr>
      <xdr:spPr>
        <a:xfrm>
          <a:off x="1457325" y="39138225"/>
          <a:ext cx="85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15" name="Text Box 3">
          <a:extLst>
            <a:ext uri="{FF2B5EF4-FFF2-40B4-BE49-F238E27FC236}">
              <a16:creationId xmlns:a16="http://schemas.microsoft.com/office/drawing/2014/main" id="{00000000-0008-0000-0900-00009F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16" name="Text Box 3">
          <a:extLst>
            <a:ext uri="{FF2B5EF4-FFF2-40B4-BE49-F238E27FC236}">
              <a16:creationId xmlns:a16="http://schemas.microsoft.com/office/drawing/2014/main" id="{00000000-0008-0000-0900-0000A0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17" name="Text Box 3">
          <a:extLst>
            <a:ext uri="{FF2B5EF4-FFF2-40B4-BE49-F238E27FC236}">
              <a16:creationId xmlns:a16="http://schemas.microsoft.com/office/drawing/2014/main" id="{00000000-0008-0000-0900-0000A1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18" name="Text Box 3">
          <a:extLst>
            <a:ext uri="{FF2B5EF4-FFF2-40B4-BE49-F238E27FC236}">
              <a16:creationId xmlns:a16="http://schemas.microsoft.com/office/drawing/2014/main" id="{00000000-0008-0000-0900-0000A2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19" name="Text Box 3">
          <a:extLst>
            <a:ext uri="{FF2B5EF4-FFF2-40B4-BE49-F238E27FC236}">
              <a16:creationId xmlns:a16="http://schemas.microsoft.com/office/drawing/2014/main" id="{00000000-0008-0000-0900-0000A3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276225</xdr:colOff>
      <xdr:row>166</xdr:row>
      <xdr:rowOff>0</xdr:rowOff>
    </xdr:from>
    <xdr:to>
      <xdr:col>2</xdr:col>
      <xdr:colOff>409575</xdr:colOff>
      <xdr:row>166</xdr:row>
      <xdr:rowOff>47625</xdr:rowOff>
    </xdr:to>
    <xdr:sp macro="" textlink="">
      <xdr:nvSpPr>
        <xdr:cNvPr id="420" name="Text Box 3">
          <a:extLst>
            <a:ext uri="{FF2B5EF4-FFF2-40B4-BE49-F238E27FC236}">
              <a16:creationId xmlns:a16="http://schemas.microsoft.com/office/drawing/2014/main" id="{00000000-0008-0000-0900-0000A4010000}"/>
            </a:ext>
          </a:extLst>
        </xdr:cNvPr>
        <xdr:cNvSpPr txBox="1">
          <a:spLocks noChangeArrowheads="1"/>
        </xdr:cNvSpPr>
      </xdr:nvSpPr>
      <xdr:spPr>
        <a:xfrm>
          <a:off x="1457325" y="39138225"/>
          <a:ext cx="133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333375</xdr:colOff>
      <xdr:row>166</xdr:row>
      <xdr:rowOff>0</xdr:rowOff>
    </xdr:from>
    <xdr:to>
      <xdr:col>2</xdr:col>
      <xdr:colOff>476250</xdr:colOff>
      <xdr:row>166</xdr:row>
      <xdr:rowOff>9525</xdr:rowOff>
    </xdr:to>
    <xdr:sp macro="" textlink="">
      <xdr:nvSpPr>
        <xdr:cNvPr id="421" name="Text Box 3">
          <a:extLst>
            <a:ext uri="{FF2B5EF4-FFF2-40B4-BE49-F238E27FC236}">
              <a16:creationId xmlns:a16="http://schemas.microsoft.com/office/drawing/2014/main" id="{00000000-0008-0000-0900-0000A5010000}"/>
            </a:ext>
          </a:extLst>
        </xdr:cNvPr>
        <xdr:cNvSpPr txBox="1">
          <a:spLocks noChangeArrowheads="1"/>
        </xdr:cNvSpPr>
      </xdr:nvSpPr>
      <xdr:spPr>
        <a:xfrm>
          <a:off x="1514475" y="391382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57150</xdr:colOff>
      <xdr:row>0</xdr:row>
      <xdr:rowOff>114300</xdr:rowOff>
    </xdr:from>
    <xdr:to>
      <xdr:col>6</xdr:col>
      <xdr:colOff>790575</xdr:colOff>
      <xdr:row>3</xdr:row>
      <xdr:rowOff>133350</xdr:rowOff>
    </xdr:to>
    <xdr:pic>
      <xdr:nvPicPr>
        <xdr:cNvPr id="422" name="Picture 421" descr="Signature">
          <a:extLst>
            <a:ext uri="{FF2B5EF4-FFF2-40B4-BE49-F238E27FC236}">
              <a16:creationId xmlns:a16="http://schemas.microsoft.com/office/drawing/2014/main" id="{00000000-0008-0000-0900-0000A601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6734175" y="114300"/>
          <a:ext cx="15144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TEP_UP_TEAM\OLD_Projects\med%20trade\HVAC%20BOQ%202022%20la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nventureo365-my.sharepoint.com/personal/nas_enventure_com/Documents/ESG/Medtrader%20LLC_EELLP_PIR_BES_00098/02%20-%20WIP/Mechanical/04.Equipment%20schedule/HVAC%20DOC-03_HVAC%20EQUIPMENT%20SCHEDULE_R03_1108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Break up details-Chemo"/>
      <sheetName val="RA-CHEMO AREA"/>
      <sheetName val="HVAC BOQ"/>
      <sheetName val="VRF-ODU "/>
      <sheetName val="DX-SPLIT "/>
      <sheetName val="VRF_IDU  "/>
      <sheetName val="RECUPERATOR"/>
      <sheetName val="UH-01"/>
      <sheetName val="AIR CURTAIN"/>
      <sheetName val="FRESH AIR FAN-R01"/>
      <sheetName val="EXHAUST FAN-R01 "/>
      <sheetName val="VCD"/>
      <sheetName val="VAV &amp; CANVAS"/>
      <sheetName val="CDP"/>
      <sheetName val="DIFFUSER&amp;GRILL"/>
      <sheetName val="Boq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E6">
            <v>129.29999999999998</v>
          </cell>
        </row>
        <row r="22">
          <cell r="E22">
            <v>27.8</v>
          </cell>
        </row>
        <row r="23">
          <cell r="E23">
            <v>19</v>
          </cell>
        </row>
      </sheetData>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SPLIT "/>
      <sheetName val="VRF_IDU  "/>
      <sheetName val="VRF-ODU "/>
      <sheetName val="UH-01"/>
      <sheetName val="RECUPERATOR"/>
      <sheetName val="EXHAUST FAN-R01 "/>
      <sheetName val="FRESH AIR FAN-R01"/>
      <sheetName val="VAV"/>
      <sheetName val="DIFFUSER&amp;GRILL"/>
      <sheetName val="VCD"/>
    </sheetNames>
    <sheetDataSet>
      <sheetData sheetId="0"/>
      <sheetData sheetId="1">
        <row r="42">
          <cell r="AJ42">
            <v>24.914772727272723</v>
          </cell>
        </row>
        <row r="53">
          <cell r="AJ53">
            <v>7.2727272727272725</v>
          </cell>
        </row>
        <row r="56">
          <cell r="AH56">
            <v>22.42329545454545</v>
          </cell>
          <cell r="AI56">
            <v>9.4346590909090899</v>
          </cell>
        </row>
      </sheetData>
      <sheetData sheetId="2"/>
      <sheetData sheetId="3" refreshError="1"/>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OH@8%25" TargetMode="External"/><Relationship Id="rId1" Type="http://schemas.openxmlformats.org/officeDocument/2006/relationships/hyperlink" Target="mailto:OH@8%25"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Y14"/>
  <sheetViews>
    <sheetView topLeftCell="A2" workbookViewId="0">
      <selection activeCell="C23" sqref="C23"/>
    </sheetView>
  </sheetViews>
  <sheetFormatPr defaultColWidth="9" defaultRowHeight="15"/>
  <cols>
    <col min="2" max="2" width="9.28515625" customWidth="1"/>
    <col min="3" max="3" width="29.5703125" customWidth="1"/>
    <col min="4" max="6" width="9.28515625" customWidth="1"/>
    <col min="7" max="7" width="13.7109375" customWidth="1"/>
    <col min="9" max="9" width="9.28515625" customWidth="1"/>
    <col min="10" max="15" width="12" customWidth="1"/>
    <col min="16" max="16" width="18.7109375" customWidth="1"/>
    <col min="17" max="17" width="12" customWidth="1"/>
  </cols>
  <sheetData>
    <row r="4" spans="2:25">
      <c r="B4" s="392"/>
      <c r="C4" s="393"/>
      <c r="D4" s="393"/>
      <c r="E4" s="393"/>
      <c r="F4" s="393"/>
      <c r="G4" s="394"/>
      <c r="J4" s="390" t="s">
        <v>0</v>
      </c>
      <c r="K4" s="390"/>
      <c r="L4" s="390"/>
      <c r="M4" s="390"/>
      <c r="N4" s="390"/>
      <c r="O4" s="390"/>
      <c r="P4" s="390"/>
      <c r="Q4" s="390"/>
      <c r="T4" s="172"/>
      <c r="U4" s="172"/>
    </row>
    <row r="5" spans="2:25">
      <c r="B5" s="395"/>
      <c r="C5" s="396"/>
      <c r="D5" s="396"/>
      <c r="E5" s="396"/>
      <c r="F5" s="396"/>
      <c r="G5" s="397"/>
      <c r="J5" s="391" t="s">
        <v>1</v>
      </c>
      <c r="K5" s="391"/>
      <c r="L5" s="391"/>
      <c r="M5" s="391"/>
      <c r="N5" s="391" t="s">
        <v>2</v>
      </c>
      <c r="O5" s="391"/>
      <c r="P5" s="391"/>
      <c r="Q5" s="391"/>
      <c r="T5" s="172"/>
      <c r="U5" s="172"/>
    </row>
    <row r="6" spans="2:25">
      <c r="B6" s="71" t="s">
        <v>3</v>
      </c>
      <c r="C6" s="71" t="s">
        <v>4</v>
      </c>
      <c r="D6" s="75" t="s">
        <v>5</v>
      </c>
      <c r="E6" s="75" t="s">
        <v>6</v>
      </c>
      <c r="F6" s="75" t="s">
        <v>7</v>
      </c>
      <c r="G6" s="75" t="s">
        <v>8</v>
      </c>
      <c r="J6" s="165" t="s">
        <v>9</v>
      </c>
      <c r="K6" s="166" t="s">
        <v>10</v>
      </c>
      <c r="L6" s="167" t="s">
        <v>11</v>
      </c>
      <c r="M6" s="167" t="s">
        <v>12</v>
      </c>
      <c r="N6" s="167" t="s">
        <v>9</v>
      </c>
      <c r="O6" s="166" t="s">
        <v>10</v>
      </c>
      <c r="P6" s="167" t="s">
        <v>11</v>
      </c>
      <c r="Q6" s="167" t="s">
        <v>12</v>
      </c>
      <c r="S6" s="173" t="e">
        <f>G8+G17+#REF!+#REF!+G19</f>
        <v>#REF!</v>
      </c>
      <c r="T6" s="172"/>
      <c r="U6" s="172"/>
    </row>
    <row r="7" spans="2:25" ht="105">
      <c r="B7" s="160">
        <v>1</v>
      </c>
      <c r="C7" s="161" t="s">
        <v>13</v>
      </c>
      <c r="D7" s="75"/>
      <c r="E7" s="75"/>
      <c r="F7" s="162">
        <f t="shared" ref="F7:F9" si="0">M7+Q7</f>
        <v>0</v>
      </c>
      <c r="G7" s="162">
        <f t="shared" ref="G7:G10" si="1">F7*D7</f>
        <v>0</v>
      </c>
      <c r="J7" s="168">
        <v>0</v>
      </c>
      <c r="K7" s="169"/>
      <c r="L7" s="169"/>
      <c r="M7" s="169"/>
      <c r="N7" s="168">
        <v>0</v>
      </c>
      <c r="O7" s="169"/>
      <c r="P7" s="169"/>
      <c r="Q7" s="169"/>
      <c r="S7" s="173">
        <f t="shared" ref="S7:S10" si="2">Q7+M7</f>
        <v>0</v>
      </c>
      <c r="T7" s="172">
        <f t="shared" ref="T7:T10" si="3">S7-F7</f>
        <v>0</v>
      </c>
      <c r="U7" s="172"/>
      <c r="V7" s="173">
        <f t="shared" ref="V7:V9" si="4">F7*70%</f>
        <v>0</v>
      </c>
      <c r="W7" s="173">
        <f t="shared" ref="W7:W9" si="5">F7*30%</f>
        <v>0</v>
      </c>
      <c r="X7" s="172">
        <f t="shared" ref="X7:Y9" si="6">V7/(1+20%)</f>
        <v>0</v>
      </c>
      <c r="Y7" s="172">
        <f t="shared" si="6"/>
        <v>0</v>
      </c>
    </row>
    <row r="8" spans="2:25">
      <c r="B8" s="160"/>
      <c r="C8" s="161" t="s">
        <v>14</v>
      </c>
      <c r="D8" s="75">
        <v>1</v>
      </c>
      <c r="E8" s="75" t="s">
        <v>15</v>
      </c>
      <c r="F8" s="162">
        <f t="shared" si="0"/>
        <v>73.364999999999952</v>
      </c>
      <c r="G8" s="162">
        <f t="shared" si="1"/>
        <v>73.364999999999952</v>
      </c>
      <c r="J8" s="168">
        <v>42.5833333333333</v>
      </c>
      <c r="K8" s="170">
        <f t="shared" ref="K8:K9" si="7">J8*8%</f>
        <v>3.4066666666666641</v>
      </c>
      <c r="L8" s="170">
        <f t="shared" ref="L8:L9" si="8">J8*12%</f>
        <v>5.1099999999999959</v>
      </c>
      <c r="M8" s="170">
        <f t="shared" ref="M8:M9" si="9">L8+K8+J8</f>
        <v>51.099999999999959</v>
      </c>
      <c r="N8" s="171">
        <v>18.25</v>
      </c>
      <c r="O8" s="170">
        <f>N8*10%</f>
        <v>1.8250000000000002</v>
      </c>
      <c r="P8" s="170">
        <f t="shared" ref="P8:P9" si="10">N8*12%</f>
        <v>2.19</v>
      </c>
      <c r="Q8" s="170">
        <f t="shared" ref="Q8:Q9" si="11">P8+O8+N8</f>
        <v>22.265000000000001</v>
      </c>
      <c r="S8" s="173">
        <f t="shared" si="2"/>
        <v>73.364999999999952</v>
      </c>
      <c r="T8" s="172">
        <f t="shared" si="3"/>
        <v>0</v>
      </c>
      <c r="U8" s="172"/>
      <c r="V8" s="173">
        <f t="shared" si="4"/>
        <v>51.355499999999964</v>
      </c>
      <c r="W8" s="173">
        <f t="shared" si="5"/>
        <v>22.009499999999985</v>
      </c>
      <c r="X8" s="172">
        <f t="shared" si="6"/>
        <v>42.796249999999972</v>
      </c>
      <c r="Y8" s="172">
        <f t="shared" si="6"/>
        <v>18.341249999999988</v>
      </c>
    </row>
    <row r="9" spans="2:25">
      <c r="B9" s="160"/>
      <c r="C9" s="161" t="s">
        <v>16</v>
      </c>
      <c r="D9" s="75">
        <v>1</v>
      </c>
      <c r="E9" s="75" t="s">
        <v>15</v>
      </c>
      <c r="F9" s="162">
        <f t="shared" si="0"/>
        <v>72.999999999999957</v>
      </c>
      <c r="G9" s="162">
        <f t="shared" si="1"/>
        <v>72.999999999999957</v>
      </c>
      <c r="J9" s="168">
        <v>42.5833333333333</v>
      </c>
      <c r="K9" s="170">
        <f t="shared" si="7"/>
        <v>3.4066666666666641</v>
      </c>
      <c r="L9" s="170">
        <f t="shared" si="8"/>
        <v>5.1099999999999959</v>
      </c>
      <c r="M9" s="170">
        <f t="shared" si="9"/>
        <v>51.099999999999959</v>
      </c>
      <c r="N9" s="171">
        <v>18.25</v>
      </c>
      <c r="O9" s="170">
        <f t="shared" ref="O9" si="12">N9*8%</f>
        <v>1.46</v>
      </c>
      <c r="P9" s="170">
        <f t="shared" si="10"/>
        <v>2.19</v>
      </c>
      <c r="Q9" s="170">
        <f t="shared" si="11"/>
        <v>21.9</v>
      </c>
      <c r="S9" s="173">
        <f t="shared" si="2"/>
        <v>72.999999999999957</v>
      </c>
      <c r="T9" s="172">
        <f t="shared" si="3"/>
        <v>0</v>
      </c>
      <c r="U9" s="172"/>
      <c r="V9" s="173">
        <f t="shared" si="4"/>
        <v>51.099999999999966</v>
      </c>
      <c r="W9" s="173">
        <f t="shared" si="5"/>
        <v>21.899999999999988</v>
      </c>
      <c r="X9" s="172">
        <f t="shared" si="6"/>
        <v>42.583333333333307</v>
      </c>
      <c r="Y9" s="172">
        <f t="shared" si="6"/>
        <v>18.249999999999989</v>
      </c>
    </row>
    <row r="10" spans="2:25" ht="30">
      <c r="B10" s="71" t="s">
        <v>17</v>
      </c>
      <c r="C10" s="163" t="s">
        <v>18</v>
      </c>
      <c r="D10" s="75">
        <v>14</v>
      </c>
      <c r="E10" s="75" t="s">
        <v>19</v>
      </c>
      <c r="F10" s="162">
        <v>4774</v>
      </c>
      <c r="G10" s="162">
        <f t="shared" si="1"/>
        <v>66836</v>
      </c>
      <c r="J10" s="171"/>
      <c r="K10" s="170"/>
      <c r="L10" s="170"/>
      <c r="M10" s="170"/>
      <c r="N10" s="171"/>
      <c r="O10" s="170"/>
      <c r="P10" s="170"/>
      <c r="Q10" s="170"/>
      <c r="S10" s="173">
        <f t="shared" si="2"/>
        <v>0</v>
      </c>
      <c r="T10" s="172">
        <f t="shared" si="3"/>
        <v>-4774</v>
      </c>
      <c r="U10" s="172"/>
    </row>
    <row r="14" spans="2:25">
      <c r="C14" s="164"/>
    </row>
  </sheetData>
  <mergeCells count="4">
    <mergeCell ref="J4:Q4"/>
    <mergeCell ref="J5:M5"/>
    <mergeCell ref="N5:Q5"/>
    <mergeCell ref="B4:G5"/>
  </mergeCells>
  <hyperlinks>
    <hyperlink ref="K6" r:id="rId1" xr:uid="{00000000-0004-0000-0000-000000000000}"/>
    <hyperlink ref="O6"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VX12"/>
  <sheetViews>
    <sheetView topLeftCell="B1" workbookViewId="0">
      <selection activeCell="C6" sqref="C6"/>
    </sheetView>
  </sheetViews>
  <sheetFormatPr defaultColWidth="9.140625" defaultRowHeight="12.75"/>
  <cols>
    <col min="1" max="1" width="9.140625" style="179"/>
    <col min="2" max="2" width="25.7109375" style="187" customWidth="1"/>
    <col min="3" max="3" width="17.42578125" style="187" customWidth="1"/>
    <col min="4" max="4" width="10" style="179" customWidth="1"/>
    <col min="5" max="5" width="17.5703125" style="179" hidden="1" customWidth="1"/>
    <col min="6" max="6" width="5" style="179" hidden="1" customWidth="1"/>
    <col min="7" max="7" width="7.5703125" style="179" hidden="1" customWidth="1"/>
    <col min="8" max="8" width="7.85546875" style="179" hidden="1" customWidth="1"/>
    <col min="9" max="9" width="14.28515625" style="179" hidden="1" customWidth="1"/>
    <col min="10" max="10" width="5.85546875" style="179" hidden="1" customWidth="1"/>
    <col min="11" max="11" width="7.5703125" style="179" hidden="1" customWidth="1"/>
    <col min="12" max="12" width="7.85546875" style="179" hidden="1" customWidth="1"/>
    <col min="13" max="13" width="9.7109375" style="179" customWidth="1"/>
    <col min="14" max="14" width="9.28515625" style="179" customWidth="1"/>
    <col min="15" max="15" width="7.5703125" style="179" customWidth="1"/>
    <col min="16" max="16" width="9.140625" style="179" customWidth="1"/>
    <col min="17" max="17" width="8.42578125" style="179" customWidth="1"/>
    <col min="18" max="18" width="14" style="179" hidden="1" customWidth="1"/>
    <col min="19" max="257" width="9.140625" style="179"/>
    <col min="258" max="258" width="25.7109375" style="179" customWidth="1"/>
    <col min="259" max="259" width="10" style="179" customWidth="1"/>
    <col min="260" max="260" width="17.5703125" style="179" customWidth="1"/>
    <col min="261" max="261" width="5" style="179" customWidth="1"/>
    <col min="262" max="262" width="7.5703125" style="179" customWidth="1"/>
    <col min="263" max="263" width="7.85546875" style="179" customWidth="1"/>
    <col min="264" max="264" width="14.28515625" style="179" customWidth="1"/>
    <col min="265" max="265" width="5.85546875" style="179" customWidth="1"/>
    <col min="266" max="266" width="7.5703125" style="179" customWidth="1"/>
    <col min="267" max="267" width="7.85546875" style="179" customWidth="1"/>
    <col min="268" max="268" width="9.7109375" style="179" customWidth="1"/>
    <col min="269" max="269" width="9.28515625" style="179" customWidth="1"/>
    <col min="270" max="270" width="7.5703125" style="179" customWidth="1"/>
    <col min="271" max="271" width="7.28515625" style="179" customWidth="1"/>
    <col min="272" max="272" width="9.140625" style="179" hidden="1" customWidth="1"/>
    <col min="273" max="273" width="9.140625" style="179"/>
    <col min="274" max="274" width="12.85546875" style="179" customWidth="1"/>
    <col min="275" max="513" width="9.140625" style="179"/>
    <col min="514" max="514" width="25.7109375" style="179" customWidth="1"/>
    <col min="515" max="515" width="10" style="179" customWidth="1"/>
    <col min="516" max="516" width="17.5703125" style="179" customWidth="1"/>
    <col min="517" max="517" width="5" style="179" customWidth="1"/>
    <col min="518" max="518" width="7.5703125" style="179" customWidth="1"/>
    <col min="519" max="519" width="7.85546875" style="179" customWidth="1"/>
    <col min="520" max="520" width="14.28515625" style="179" customWidth="1"/>
    <col min="521" max="521" width="5.85546875" style="179" customWidth="1"/>
    <col min="522" max="522" width="7.5703125" style="179" customWidth="1"/>
    <col min="523" max="523" width="7.85546875" style="179" customWidth="1"/>
    <col min="524" max="524" width="9.7109375" style="179" customWidth="1"/>
    <col min="525" max="525" width="9.28515625" style="179" customWidth="1"/>
    <col min="526" max="526" width="7.5703125" style="179" customWidth="1"/>
    <col min="527" max="527" width="7.28515625" style="179" customWidth="1"/>
    <col min="528" max="528" width="9.140625" style="179" hidden="1" customWidth="1"/>
    <col min="529" max="529" width="9.140625" style="179"/>
    <col min="530" max="530" width="12.85546875" style="179" customWidth="1"/>
    <col min="531" max="769" width="9.140625" style="179"/>
    <col min="770" max="770" width="25.7109375" style="179" customWidth="1"/>
    <col min="771" max="771" width="10" style="179" customWidth="1"/>
    <col min="772" max="772" width="17.5703125" style="179" customWidth="1"/>
    <col min="773" max="773" width="5" style="179" customWidth="1"/>
    <col min="774" max="774" width="7.5703125" style="179" customWidth="1"/>
    <col min="775" max="775" width="7.85546875" style="179" customWidth="1"/>
    <col min="776" max="776" width="14.28515625" style="179" customWidth="1"/>
    <col min="777" max="777" width="5.85546875" style="179" customWidth="1"/>
    <col min="778" max="778" width="7.5703125" style="179" customWidth="1"/>
    <col min="779" max="779" width="7.85546875" style="179" customWidth="1"/>
    <col min="780" max="780" width="9.7109375" style="179" customWidth="1"/>
    <col min="781" max="781" width="9.28515625" style="179" customWidth="1"/>
    <col min="782" max="782" width="7.5703125" style="179" customWidth="1"/>
    <col min="783" max="783" width="7.28515625" style="179" customWidth="1"/>
    <col min="784" max="784" width="9.140625" style="179" hidden="1" customWidth="1"/>
    <col min="785" max="785" width="9.140625" style="179"/>
    <col min="786" max="786" width="12.85546875" style="179" customWidth="1"/>
    <col min="787" max="1025" width="9.140625" style="179"/>
    <col min="1026" max="1026" width="25.7109375" style="179" customWidth="1"/>
    <col min="1027" max="1027" width="10" style="179" customWidth="1"/>
    <col min="1028" max="1028" width="17.5703125" style="179" customWidth="1"/>
    <col min="1029" max="1029" width="5" style="179" customWidth="1"/>
    <col min="1030" max="1030" width="7.5703125" style="179" customWidth="1"/>
    <col min="1031" max="1031" width="7.85546875" style="179" customWidth="1"/>
    <col min="1032" max="1032" width="14.28515625" style="179" customWidth="1"/>
    <col min="1033" max="1033" width="5.85546875" style="179" customWidth="1"/>
    <col min="1034" max="1034" width="7.5703125" style="179" customWidth="1"/>
    <col min="1035" max="1035" width="7.85546875" style="179" customWidth="1"/>
    <col min="1036" max="1036" width="9.7109375" style="179" customWidth="1"/>
    <col min="1037" max="1037" width="9.28515625" style="179" customWidth="1"/>
    <col min="1038" max="1038" width="7.5703125" style="179" customWidth="1"/>
    <col min="1039" max="1039" width="7.28515625" style="179" customWidth="1"/>
    <col min="1040" max="1040" width="9.140625" style="179" hidden="1" customWidth="1"/>
    <col min="1041" max="1041" width="9.140625" style="179"/>
    <col min="1042" max="1042" width="12.85546875" style="179" customWidth="1"/>
    <col min="1043" max="1281" width="9.140625" style="179"/>
    <col min="1282" max="1282" width="25.7109375" style="179" customWidth="1"/>
    <col min="1283" max="1283" width="10" style="179" customWidth="1"/>
    <col min="1284" max="1284" width="17.5703125" style="179" customWidth="1"/>
    <col min="1285" max="1285" width="5" style="179" customWidth="1"/>
    <col min="1286" max="1286" width="7.5703125" style="179" customWidth="1"/>
    <col min="1287" max="1287" width="7.85546875" style="179" customWidth="1"/>
    <col min="1288" max="1288" width="14.28515625" style="179" customWidth="1"/>
    <col min="1289" max="1289" width="5.85546875" style="179" customWidth="1"/>
    <col min="1290" max="1290" width="7.5703125" style="179" customWidth="1"/>
    <col min="1291" max="1291" width="7.85546875" style="179" customWidth="1"/>
    <col min="1292" max="1292" width="9.7109375" style="179" customWidth="1"/>
    <col min="1293" max="1293" width="9.28515625" style="179" customWidth="1"/>
    <col min="1294" max="1294" width="7.5703125" style="179" customWidth="1"/>
    <col min="1295" max="1295" width="7.28515625" style="179" customWidth="1"/>
    <col min="1296" max="1296" width="9.140625" style="179" hidden="1" customWidth="1"/>
    <col min="1297" max="1297" width="9.140625" style="179"/>
    <col min="1298" max="1298" width="12.85546875" style="179" customWidth="1"/>
    <col min="1299" max="1537" width="9.140625" style="179"/>
    <col min="1538" max="1538" width="25.7109375" style="179" customWidth="1"/>
    <col min="1539" max="1539" width="10" style="179" customWidth="1"/>
    <col min="1540" max="1540" width="17.5703125" style="179" customWidth="1"/>
    <col min="1541" max="1541" width="5" style="179" customWidth="1"/>
    <col min="1542" max="1542" width="7.5703125" style="179" customWidth="1"/>
    <col min="1543" max="1543" width="7.85546875" style="179" customWidth="1"/>
    <col min="1544" max="1544" width="14.28515625" style="179" customWidth="1"/>
    <col min="1545" max="1545" width="5.85546875" style="179" customWidth="1"/>
    <col min="1546" max="1546" width="7.5703125" style="179" customWidth="1"/>
    <col min="1547" max="1547" width="7.85546875" style="179" customWidth="1"/>
    <col min="1548" max="1548" width="9.7109375" style="179" customWidth="1"/>
    <col min="1549" max="1549" width="9.28515625" style="179" customWidth="1"/>
    <col min="1550" max="1550" width="7.5703125" style="179" customWidth="1"/>
    <col min="1551" max="1551" width="7.28515625" style="179" customWidth="1"/>
    <col min="1552" max="1552" width="9.140625" style="179" hidden="1" customWidth="1"/>
    <col min="1553" max="1553" width="9.140625" style="179"/>
    <col min="1554" max="1554" width="12.85546875" style="179" customWidth="1"/>
    <col min="1555" max="1793" width="9.140625" style="179"/>
    <col min="1794" max="1794" width="25.7109375" style="179" customWidth="1"/>
    <col min="1795" max="1795" width="10" style="179" customWidth="1"/>
    <col min="1796" max="1796" width="17.5703125" style="179" customWidth="1"/>
    <col min="1797" max="1797" width="5" style="179" customWidth="1"/>
    <col min="1798" max="1798" width="7.5703125" style="179" customWidth="1"/>
    <col min="1799" max="1799" width="7.85546875" style="179" customWidth="1"/>
    <col min="1800" max="1800" width="14.28515625" style="179" customWidth="1"/>
    <col min="1801" max="1801" width="5.85546875" style="179" customWidth="1"/>
    <col min="1802" max="1802" width="7.5703125" style="179" customWidth="1"/>
    <col min="1803" max="1803" width="7.85546875" style="179" customWidth="1"/>
    <col min="1804" max="1804" width="9.7109375" style="179" customWidth="1"/>
    <col min="1805" max="1805" width="9.28515625" style="179" customWidth="1"/>
    <col min="1806" max="1806" width="7.5703125" style="179" customWidth="1"/>
    <col min="1807" max="1807" width="7.28515625" style="179" customWidth="1"/>
    <col min="1808" max="1808" width="9.140625" style="179" hidden="1" customWidth="1"/>
    <col min="1809" max="1809" width="9.140625" style="179"/>
    <col min="1810" max="1810" width="12.85546875" style="179" customWidth="1"/>
    <col min="1811" max="2049" width="9.140625" style="179"/>
    <col min="2050" max="2050" width="25.7109375" style="179" customWidth="1"/>
    <col min="2051" max="2051" width="10" style="179" customWidth="1"/>
    <col min="2052" max="2052" width="17.5703125" style="179" customWidth="1"/>
    <col min="2053" max="2053" width="5" style="179" customWidth="1"/>
    <col min="2054" max="2054" width="7.5703125" style="179" customWidth="1"/>
    <col min="2055" max="2055" width="7.85546875" style="179" customWidth="1"/>
    <col min="2056" max="2056" width="14.28515625" style="179" customWidth="1"/>
    <col min="2057" max="2057" width="5.85546875" style="179" customWidth="1"/>
    <col min="2058" max="2058" width="7.5703125" style="179" customWidth="1"/>
    <col min="2059" max="2059" width="7.85546875" style="179" customWidth="1"/>
    <col min="2060" max="2060" width="9.7109375" style="179" customWidth="1"/>
    <col min="2061" max="2061" width="9.28515625" style="179" customWidth="1"/>
    <col min="2062" max="2062" width="7.5703125" style="179" customWidth="1"/>
    <col min="2063" max="2063" width="7.28515625" style="179" customWidth="1"/>
    <col min="2064" max="2064" width="9.140625" style="179" hidden="1" customWidth="1"/>
    <col min="2065" max="2065" width="9.140625" style="179"/>
    <col min="2066" max="2066" width="12.85546875" style="179" customWidth="1"/>
    <col min="2067" max="2305" width="9.140625" style="179"/>
    <col min="2306" max="2306" width="25.7109375" style="179" customWidth="1"/>
    <col min="2307" max="2307" width="10" style="179" customWidth="1"/>
    <col min="2308" max="2308" width="17.5703125" style="179" customWidth="1"/>
    <col min="2309" max="2309" width="5" style="179" customWidth="1"/>
    <col min="2310" max="2310" width="7.5703125" style="179" customWidth="1"/>
    <col min="2311" max="2311" width="7.85546875" style="179" customWidth="1"/>
    <col min="2312" max="2312" width="14.28515625" style="179" customWidth="1"/>
    <col min="2313" max="2313" width="5.85546875" style="179" customWidth="1"/>
    <col min="2314" max="2314" width="7.5703125" style="179" customWidth="1"/>
    <col min="2315" max="2315" width="7.85546875" style="179" customWidth="1"/>
    <col min="2316" max="2316" width="9.7109375" style="179" customWidth="1"/>
    <col min="2317" max="2317" width="9.28515625" style="179" customWidth="1"/>
    <col min="2318" max="2318" width="7.5703125" style="179" customWidth="1"/>
    <col min="2319" max="2319" width="7.28515625" style="179" customWidth="1"/>
    <col min="2320" max="2320" width="9.140625" style="179" hidden="1" customWidth="1"/>
    <col min="2321" max="2321" width="9.140625" style="179"/>
    <col min="2322" max="2322" width="12.85546875" style="179" customWidth="1"/>
    <col min="2323" max="2561" width="9.140625" style="179"/>
    <col min="2562" max="2562" width="25.7109375" style="179" customWidth="1"/>
    <col min="2563" max="2563" width="10" style="179" customWidth="1"/>
    <col min="2564" max="2564" width="17.5703125" style="179" customWidth="1"/>
    <col min="2565" max="2565" width="5" style="179" customWidth="1"/>
    <col min="2566" max="2566" width="7.5703125" style="179" customWidth="1"/>
    <col min="2567" max="2567" width="7.85546875" style="179" customWidth="1"/>
    <col min="2568" max="2568" width="14.28515625" style="179" customWidth="1"/>
    <col min="2569" max="2569" width="5.85546875" style="179" customWidth="1"/>
    <col min="2570" max="2570" width="7.5703125" style="179" customWidth="1"/>
    <col min="2571" max="2571" width="7.85546875" style="179" customWidth="1"/>
    <col min="2572" max="2572" width="9.7109375" style="179" customWidth="1"/>
    <col min="2573" max="2573" width="9.28515625" style="179" customWidth="1"/>
    <col min="2574" max="2574" width="7.5703125" style="179" customWidth="1"/>
    <col min="2575" max="2575" width="7.28515625" style="179" customWidth="1"/>
    <col min="2576" max="2576" width="9.140625" style="179" hidden="1" customWidth="1"/>
    <col min="2577" max="2577" width="9.140625" style="179"/>
    <col min="2578" max="2578" width="12.85546875" style="179" customWidth="1"/>
    <col min="2579" max="2817" width="9.140625" style="179"/>
    <col min="2818" max="2818" width="25.7109375" style="179" customWidth="1"/>
    <col min="2819" max="2819" width="10" style="179" customWidth="1"/>
    <col min="2820" max="2820" width="17.5703125" style="179" customWidth="1"/>
    <col min="2821" max="2821" width="5" style="179" customWidth="1"/>
    <col min="2822" max="2822" width="7.5703125" style="179" customWidth="1"/>
    <col min="2823" max="2823" width="7.85546875" style="179" customWidth="1"/>
    <col min="2824" max="2824" width="14.28515625" style="179" customWidth="1"/>
    <col min="2825" max="2825" width="5.85546875" style="179" customWidth="1"/>
    <col min="2826" max="2826" width="7.5703125" style="179" customWidth="1"/>
    <col min="2827" max="2827" width="7.85546875" style="179" customWidth="1"/>
    <col min="2828" max="2828" width="9.7109375" style="179" customWidth="1"/>
    <col min="2829" max="2829" width="9.28515625" style="179" customWidth="1"/>
    <col min="2830" max="2830" width="7.5703125" style="179" customWidth="1"/>
    <col min="2831" max="2831" width="7.28515625" style="179" customWidth="1"/>
    <col min="2832" max="2832" width="9.140625" style="179" hidden="1" customWidth="1"/>
    <col min="2833" max="2833" width="9.140625" style="179"/>
    <col min="2834" max="2834" width="12.85546875" style="179" customWidth="1"/>
    <col min="2835" max="3073" width="9.140625" style="179"/>
    <col min="3074" max="3074" width="25.7109375" style="179" customWidth="1"/>
    <col min="3075" max="3075" width="10" style="179" customWidth="1"/>
    <col min="3076" max="3076" width="17.5703125" style="179" customWidth="1"/>
    <col min="3077" max="3077" width="5" style="179" customWidth="1"/>
    <col min="3078" max="3078" width="7.5703125" style="179" customWidth="1"/>
    <col min="3079" max="3079" width="7.85546875" style="179" customWidth="1"/>
    <col min="3080" max="3080" width="14.28515625" style="179" customWidth="1"/>
    <col min="3081" max="3081" width="5.85546875" style="179" customWidth="1"/>
    <col min="3082" max="3082" width="7.5703125" style="179" customWidth="1"/>
    <col min="3083" max="3083" width="7.85546875" style="179" customWidth="1"/>
    <col min="3084" max="3084" width="9.7109375" style="179" customWidth="1"/>
    <col min="3085" max="3085" width="9.28515625" style="179" customWidth="1"/>
    <col min="3086" max="3086" width="7.5703125" style="179" customWidth="1"/>
    <col min="3087" max="3087" width="7.28515625" style="179" customWidth="1"/>
    <col min="3088" max="3088" width="9.140625" style="179" hidden="1" customWidth="1"/>
    <col min="3089" max="3089" width="9.140625" style="179"/>
    <col min="3090" max="3090" width="12.85546875" style="179" customWidth="1"/>
    <col min="3091" max="3329" width="9.140625" style="179"/>
    <col min="3330" max="3330" width="25.7109375" style="179" customWidth="1"/>
    <col min="3331" max="3331" width="10" style="179" customWidth="1"/>
    <col min="3332" max="3332" width="17.5703125" style="179" customWidth="1"/>
    <col min="3333" max="3333" width="5" style="179" customWidth="1"/>
    <col min="3334" max="3334" width="7.5703125" style="179" customWidth="1"/>
    <col min="3335" max="3335" width="7.85546875" style="179" customWidth="1"/>
    <col min="3336" max="3336" width="14.28515625" style="179" customWidth="1"/>
    <col min="3337" max="3337" width="5.85546875" style="179" customWidth="1"/>
    <col min="3338" max="3338" width="7.5703125" style="179" customWidth="1"/>
    <col min="3339" max="3339" width="7.85546875" style="179" customWidth="1"/>
    <col min="3340" max="3340" width="9.7109375" style="179" customWidth="1"/>
    <col min="3341" max="3341" width="9.28515625" style="179" customWidth="1"/>
    <col min="3342" max="3342" width="7.5703125" style="179" customWidth="1"/>
    <col min="3343" max="3343" width="7.28515625" style="179" customWidth="1"/>
    <col min="3344" max="3344" width="9.140625" style="179" hidden="1" customWidth="1"/>
    <col min="3345" max="3345" width="9.140625" style="179"/>
    <col min="3346" max="3346" width="12.85546875" style="179" customWidth="1"/>
    <col min="3347" max="3585" width="9.140625" style="179"/>
    <col min="3586" max="3586" width="25.7109375" style="179" customWidth="1"/>
    <col min="3587" max="3587" width="10" style="179" customWidth="1"/>
    <col min="3588" max="3588" width="17.5703125" style="179" customWidth="1"/>
    <col min="3589" max="3589" width="5" style="179" customWidth="1"/>
    <col min="3590" max="3590" width="7.5703125" style="179" customWidth="1"/>
    <col min="3591" max="3591" width="7.85546875" style="179" customWidth="1"/>
    <col min="3592" max="3592" width="14.28515625" style="179" customWidth="1"/>
    <col min="3593" max="3593" width="5.85546875" style="179" customWidth="1"/>
    <col min="3594" max="3594" width="7.5703125" style="179" customWidth="1"/>
    <col min="3595" max="3595" width="7.85546875" style="179" customWidth="1"/>
    <col min="3596" max="3596" width="9.7109375" style="179" customWidth="1"/>
    <col min="3597" max="3597" width="9.28515625" style="179" customWidth="1"/>
    <col min="3598" max="3598" width="7.5703125" style="179" customWidth="1"/>
    <col min="3599" max="3599" width="7.28515625" style="179" customWidth="1"/>
    <col min="3600" max="3600" width="9.140625" style="179" hidden="1" customWidth="1"/>
    <col min="3601" max="3601" width="9.140625" style="179"/>
    <col min="3602" max="3602" width="12.85546875" style="179" customWidth="1"/>
    <col min="3603" max="3841" width="9.140625" style="179"/>
    <col min="3842" max="3842" width="25.7109375" style="179" customWidth="1"/>
    <col min="3843" max="3843" width="10" style="179" customWidth="1"/>
    <col min="3844" max="3844" width="17.5703125" style="179" customWidth="1"/>
    <col min="3845" max="3845" width="5" style="179" customWidth="1"/>
    <col min="3846" max="3846" width="7.5703125" style="179" customWidth="1"/>
    <col min="3847" max="3847" width="7.85546875" style="179" customWidth="1"/>
    <col min="3848" max="3848" width="14.28515625" style="179" customWidth="1"/>
    <col min="3849" max="3849" width="5.85546875" style="179" customWidth="1"/>
    <col min="3850" max="3850" width="7.5703125" style="179" customWidth="1"/>
    <col min="3851" max="3851" width="7.85546875" style="179" customWidth="1"/>
    <col min="3852" max="3852" width="9.7109375" style="179" customWidth="1"/>
    <col min="3853" max="3853" width="9.28515625" style="179" customWidth="1"/>
    <col min="3854" max="3854" width="7.5703125" style="179" customWidth="1"/>
    <col min="3855" max="3855" width="7.28515625" style="179" customWidth="1"/>
    <col min="3856" max="3856" width="9.140625" style="179" hidden="1" customWidth="1"/>
    <col min="3857" max="3857" width="9.140625" style="179"/>
    <col min="3858" max="3858" width="12.85546875" style="179" customWidth="1"/>
    <col min="3859" max="4097" width="9.140625" style="179"/>
    <col min="4098" max="4098" width="25.7109375" style="179" customWidth="1"/>
    <col min="4099" max="4099" width="10" style="179" customWidth="1"/>
    <col min="4100" max="4100" width="17.5703125" style="179" customWidth="1"/>
    <col min="4101" max="4101" width="5" style="179" customWidth="1"/>
    <col min="4102" max="4102" width="7.5703125" style="179" customWidth="1"/>
    <col min="4103" max="4103" width="7.85546875" style="179" customWidth="1"/>
    <col min="4104" max="4104" width="14.28515625" style="179" customWidth="1"/>
    <col min="4105" max="4105" width="5.85546875" style="179" customWidth="1"/>
    <col min="4106" max="4106" width="7.5703125" style="179" customWidth="1"/>
    <col min="4107" max="4107" width="7.85546875" style="179" customWidth="1"/>
    <col min="4108" max="4108" width="9.7109375" style="179" customWidth="1"/>
    <col min="4109" max="4109" width="9.28515625" style="179" customWidth="1"/>
    <col min="4110" max="4110" width="7.5703125" style="179" customWidth="1"/>
    <col min="4111" max="4111" width="7.28515625" style="179" customWidth="1"/>
    <col min="4112" max="4112" width="9.140625" style="179" hidden="1" customWidth="1"/>
    <col min="4113" max="4113" width="9.140625" style="179"/>
    <col min="4114" max="4114" width="12.85546875" style="179" customWidth="1"/>
    <col min="4115" max="4353" width="9.140625" style="179"/>
    <col min="4354" max="4354" width="25.7109375" style="179" customWidth="1"/>
    <col min="4355" max="4355" width="10" style="179" customWidth="1"/>
    <col min="4356" max="4356" width="17.5703125" style="179" customWidth="1"/>
    <col min="4357" max="4357" width="5" style="179" customWidth="1"/>
    <col min="4358" max="4358" width="7.5703125" style="179" customWidth="1"/>
    <col min="4359" max="4359" width="7.85546875" style="179" customWidth="1"/>
    <col min="4360" max="4360" width="14.28515625" style="179" customWidth="1"/>
    <col min="4361" max="4361" width="5.85546875" style="179" customWidth="1"/>
    <col min="4362" max="4362" width="7.5703125" style="179" customWidth="1"/>
    <col min="4363" max="4363" width="7.85546875" style="179" customWidth="1"/>
    <col min="4364" max="4364" width="9.7109375" style="179" customWidth="1"/>
    <col min="4365" max="4365" width="9.28515625" style="179" customWidth="1"/>
    <col min="4366" max="4366" width="7.5703125" style="179" customWidth="1"/>
    <col min="4367" max="4367" width="7.28515625" style="179" customWidth="1"/>
    <col min="4368" max="4368" width="9.140625" style="179" hidden="1" customWidth="1"/>
    <col min="4369" max="4369" width="9.140625" style="179"/>
    <col min="4370" max="4370" width="12.85546875" style="179" customWidth="1"/>
    <col min="4371" max="4609" width="9.140625" style="179"/>
    <col min="4610" max="4610" width="25.7109375" style="179" customWidth="1"/>
    <col min="4611" max="4611" width="10" style="179" customWidth="1"/>
    <col min="4612" max="4612" width="17.5703125" style="179" customWidth="1"/>
    <col min="4613" max="4613" width="5" style="179" customWidth="1"/>
    <col min="4614" max="4614" width="7.5703125" style="179" customWidth="1"/>
    <col min="4615" max="4615" width="7.85546875" style="179" customWidth="1"/>
    <col min="4616" max="4616" width="14.28515625" style="179" customWidth="1"/>
    <col min="4617" max="4617" width="5.85546875" style="179" customWidth="1"/>
    <col min="4618" max="4618" width="7.5703125" style="179" customWidth="1"/>
    <col min="4619" max="4619" width="7.85546875" style="179" customWidth="1"/>
    <col min="4620" max="4620" width="9.7109375" style="179" customWidth="1"/>
    <col min="4621" max="4621" width="9.28515625" style="179" customWidth="1"/>
    <col min="4622" max="4622" width="7.5703125" style="179" customWidth="1"/>
    <col min="4623" max="4623" width="7.28515625" style="179" customWidth="1"/>
    <col min="4624" max="4624" width="9.140625" style="179" hidden="1" customWidth="1"/>
    <col min="4625" max="4625" width="9.140625" style="179"/>
    <col min="4626" max="4626" width="12.85546875" style="179" customWidth="1"/>
    <col min="4627" max="4865" width="9.140625" style="179"/>
    <col min="4866" max="4866" width="25.7109375" style="179" customWidth="1"/>
    <col min="4867" max="4867" width="10" style="179" customWidth="1"/>
    <col min="4868" max="4868" width="17.5703125" style="179" customWidth="1"/>
    <col min="4869" max="4869" width="5" style="179" customWidth="1"/>
    <col min="4870" max="4870" width="7.5703125" style="179" customWidth="1"/>
    <col min="4871" max="4871" width="7.85546875" style="179" customWidth="1"/>
    <col min="4872" max="4872" width="14.28515625" style="179" customWidth="1"/>
    <col min="4873" max="4873" width="5.85546875" style="179" customWidth="1"/>
    <col min="4874" max="4874" width="7.5703125" style="179" customWidth="1"/>
    <col min="4875" max="4875" width="7.85546875" style="179" customWidth="1"/>
    <col min="4876" max="4876" width="9.7109375" style="179" customWidth="1"/>
    <col min="4877" max="4877" width="9.28515625" style="179" customWidth="1"/>
    <col min="4878" max="4878" width="7.5703125" style="179" customWidth="1"/>
    <col min="4879" max="4879" width="7.28515625" style="179" customWidth="1"/>
    <col min="4880" max="4880" width="9.140625" style="179" hidden="1" customWidth="1"/>
    <col min="4881" max="4881" width="9.140625" style="179"/>
    <col min="4882" max="4882" width="12.85546875" style="179" customWidth="1"/>
    <col min="4883" max="5121" width="9.140625" style="179"/>
    <col min="5122" max="5122" width="25.7109375" style="179" customWidth="1"/>
    <col min="5123" max="5123" width="10" style="179" customWidth="1"/>
    <col min="5124" max="5124" width="17.5703125" style="179" customWidth="1"/>
    <col min="5125" max="5125" width="5" style="179" customWidth="1"/>
    <col min="5126" max="5126" width="7.5703125" style="179" customWidth="1"/>
    <col min="5127" max="5127" width="7.85546875" style="179" customWidth="1"/>
    <col min="5128" max="5128" width="14.28515625" style="179" customWidth="1"/>
    <col min="5129" max="5129" width="5.85546875" style="179" customWidth="1"/>
    <col min="5130" max="5130" width="7.5703125" style="179" customWidth="1"/>
    <col min="5131" max="5131" width="7.85546875" style="179" customWidth="1"/>
    <col min="5132" max="5132" width="9.7109375" style="179" customWidth="1"/>
    <col min="5133" max="5133" width="9.28515625" style="179" customWidth="1"/>
    <col min="5134" max="5134" width="7.5703125" style="179" customWidth="1"/>
    <col min="5135" max="5135" width="7.28515625" style="179" customWidth="1"/>
    <col min="5136" max="5136" width="9.140625" style="179" hidden="1" customWidth="1"/>
    <col min="5137" max="5137" width="9.140625" style="179"/>
    <col min="5138" max="5138" width="12.85546875" style="179" customWidth="1"/>
    <col min="5139" max="5377" width="9.140625" style="179"/>
    <col min="5378" max="5378" width="25.7109375" style="179" customWidth="1"/>
    <col min="5379" max="5379" width="10" style="179" customWidth="1"/>
    <col min="5380" max="5380" width="17.5703125" style="179" customWidth="1"/>
    <col min="5381" max="5381" width="5" style="179" customWidth="1"/>
    <col min="5382" max="5382" width="7.5703125" style="179" customWidth="1"/>
    <col min="5383" max="5383" width="7.85546875" style="179" customWidth="1"/>
    <col min="5384" max="5384" width="14.28515625" style="179" customWidth="1"/>
    <col min="5385" max="5385" width="5.85546875" style="179" customWidth="1"/>
    <col min="5386" max="5386" width="7.5703125" style="179" customWidth="1"/>
    <col min="5387" max="5387" width="7.85546875" style="179" customWidth="1"/>
    <col min="5388" max="5388" width="9.7109375" style="179" customWidth="1"/>
    <col min="5389" max="5389" width="9.28515625" style="179" customWidth="1"/>
    <col min="5390" max="5390" width="7.5703125" style="179" customWidth="1"/>
    <col min="5391" max="5391" width="7.28515625" style="179" customWidth="1"/>
    <col min="5392" max="5392" width="9.140625" style="179" hidden="1" customWidth="1"/>
    <col min="5393" max="5393" width="9.140625" style="179"/>
    <col min="5394" max="5394" width="12.85546875" style="179" customWidth="1"/>
    <col min="5395" max="5633" width="9.140625" style="179"/>
    <col min="5634" max="5634" width="25.7109375" style="179" customWidth="1"/>
    <col min="5635" max="5635" width="10" style="179" customWidth="1"/>
    <col min="5636" max="5636" width="17.5703125" style="179" customWidth="1"/>
    <col min="5637" max="5637" width="5" style="179" customWidth="1"/>
    <col min="5638" max="5638" width="7.5703125" style="179" customWidth="1"/>
    <col min="5639" max="5639" width="7.85546875" style="179" customWidth="1"/>
    <col min="5640" max="5640" width="14.28515625" style="179" customWidth="1"/>
    <col min="5641" max="5641" width="5.85546875" style="179" customWidth="1"/>
    <col min="5642" max="5642" width="7.5703125" style="179" customWidth="1"/>
    <col min="5643" max="5643" width="7.85546875" style="179" customWidth="1"/>
    <col min="5644" max="5644" width="9.7109375" style="179" customWidth="1"/>
    <col min="5645" max="5645" width="9.28515625" style="179" customWidth="1"/>
    <col min="5646" max="5646" width="7.5703125" style="179" customWidth="1"/>
    <col min="5647" max="5647" width="7.28515625" style="179" customWidth="1"/>
    <col min="5648" max="5648" width="9.140625" style="179" hidden="1" customWidth="1"/>
    <col min="5649" max="5649" width="9.140625" style="179"/>
    <col min="5650" max="5650" width="12.85546875" style="179" customWidth="1"/>
    <col min="5651" max="5889" width="9.140625" style="179"/>
    <col min="5890" max="5890" width="25.7109375" style="179" customWidth="1"/>
    <col min="5891" max="5891" width="10" style="179" customWidth="1"/>
    <col min="5892" max="5892" width="17.5703125" style="179" customWidth="1"/>
    <col min="5893" max="5893" width="5" style="179" customWidth="1"/>
    <col min="5894" max="5894" width="7.5703125" style="179" customWidth="1"/>
    <col min="5895" max="5895" width="7.85546875" style="179" customWidth="1"/>
    <col min="5896" max="5896" width="14.28515625" style="179" customWidth="1"/>
    <col min="5897" max="5897" width="5.85546875" style="179" customWidth="1"/>
    <col min="5898" max="5898" width="7.5703125" style="179" customWidth="1"/>
    <col min="5899" max="5899" width="7.85546875" style="179" customWidth="1"/>
    <col min="5900" max="5900" width="9.7109375" style="179" customWidth="1"/>
    <col min="5901" max="5901" width="9.28515625" style="179" customWidth="1"/>
    <col min="5902" max="5902" width="7.5703125" style="179" customWidth="1"/>
    <col min="5903" max="5903" width="7.28515625" style="179" customWidth="1"/>
    <col min="5904" max="5904" width="9.140625" style="179" hidden="1" customWidth="1"/>
    <col min="5905" max="5905" width="9.140625" style="179"/>
    <col min="5906" max="5906" width="12.85546875" style="179" customWidth="1"/>
    <col min="5907" max="6145" width="9.140625" style="179"/>
    <col min="6146" max="6146" width="25.7109375" style="179" customWidth="1"/>
    <col min="6147" max="6147" width="10" style="179" customWidth="1"/>
    <col min="6148" max="6148" width="17.5703125" style="179" customWidth="1"/>
    <col min="6149" max="6149" width="5" style="179" customWidth="1"/>
    <col min="6150" max="6150" width="7.5703125" style="179" customWidth="1"/>
    <col min="6151" max="6151" width="7.85546875" style="179" customWidth="1"/>
    <col min="6152" max="6152" width="14.28515625" style="179" customWidth="1"/>
    <col min="6153" max="6153" width="5.85546875" style="179" customWidth="1"/>
    <col min="6154" max="6154" width="7.5703125" style="179" customWidth="1"/>
    <col min="6155" max="6155" width="7.85546875" style="179" customWidth="1"/>
    <col min="6156" max="6156" width="9.7109375" style="179" customWidth="1"/>
    <col min="6157" max="6157" width="9.28515625" style="179" customWidth="1"/>
    <col min="6158" max="6158" width="7.5703125" style="179" customWidth="1"/>
    <col min="6159" max="6159" width="7.28515625" style="179" customWidth="1"/>
    <col min="6160" max="6160" width="9.140625" style="179" hidden="1" customWidth="1"/>
    <col min="6161" max="6161" width="9.140625" style="179"/>
    <col min="6162" max="6162" width="12.85546875" style="179" customWidth="1"/>
    <col min="6163" max="6401" width="9.140625" style="179"/>
    <col min="6402" max="6402" width="25.7109375" style="179" customWidth="1"/>
    <col min="6403" max="6403" width="10" style="179" customWidth="1"/>
    <col min="6404" max="6404" width="17.5703125" style="179" customWidth="1"/>
    <col min="6405" max="6405" width="5" style="179" customWidth="1"/>
    <col min="6406" max="6406" width="7.5703125" style="179" customWidth="1"/>
    <col min="6407" max="6407" width="7.85546875" style="179" customWidth="1"/>
    <col min="6408" max="6408" width="14.28515625" style="179" customWidth="1"/>
    <col min="6409" max="6409" width="5.85546875" style="179" customWidth="1"/>
    <col min="6410" max="6410" width="7.5703125" style="179" customWidth="1"/>
    <col min="6411" max="6411" width="7.85546875" style="179" customWidth="1"/>
    <col min="6412" max="6412" width="9.7109375" style="179" customWidth="1"/>
    <col min="6413" max="6413" width="9.28515625" style="179" customWidth="1"/>
    <col min="6414" max="6414" width="7.5703125" style="179" customWidth="1"/>
    <col min="6415" max="6415" width="7.28515625" style="179" customWidth="1"/>
    <col min="6416" max="6416" width="9.140625" style="179" hidden="1" customWidth="1"/>
    <col min="6417" max="6417" width="9.140625" style="179"/>
    <col min="6418" max="6418" width="12.85546875" style="179" customWidth="1"/>
    <col min="6419" max="6657" width="9.140625" style="179"/>
    <col min="6658" max="6658" width="25.7109375" style="179" customWidth="1"/>
    <col min="6659" max="6659" width="10" style="179" customWidth="1"/>
    <col min="6660" max="6660" width="17.5703125" style="179" customWidth="1"/>
    <col min="6661" max="6661" width="5" style="179" customWidth="1"/>
    <col min="6662" max="6662" width="7.5703125" style="179" customWidth="1"/>
    <col min="6663" max="6663" width="7.85546875" style="179" customWidth="1"/>
    <col min="6664" max="6664" width="14.28515625" style="179" customWidth="1"/>
    <col min="6665" max="6665" width="5.85546875" style="179" customWidth="1"/>
    <col min="6666" max="6666" width="7.5703125" style="179" customWidth="1"/>
    <col min="6667" max="6667" width="7.85546875" style="179" customWidth="1"/>
    <col min="6668" max="6668" width="9.7109375" style="179" customWidth="1"/>
    <col min="6669" max="6669" width="9.28515625" style="179" customWidth="1"/>
    <col min="6670" max="6670" width="7.5703125" style="179" customWidth="1"/>
    <col min="6671" max="6671" width="7.28515625" style="179" customWidth="1"/>
    <col min="6672" max="6672" width="9.140625" style="179" hidden="1" customWidth="1"/>
    <col min="6673" max="6673" width="9.140625" style="179"/>
    <col min="6674" max="6674" width="12.85546875" style="179" customWidth="1"/>
    <col min="6675" max="6913" width="9.140625" style="179"/>
    <col min="6914" max="6914" width="25.7109375" style="179" customWidth="1"/>
    <col min="6915" max="6915" width="10" style="179" customWidth="1"/>
    <col min="6916" max="6916" width="17.5703125" style="179" customWidth="1"/>
    <col min="6917" max="6917" width="5" style="179" customWidth="1"/>
    <col min="6918" max="6918" width="7.5703125" style="179" customWidth="1"/>
    <col min="6919" max="6919" width="7.85546875" style="179" customWidth="1"/>
    <col min="6920" max="6920" width="14.28515625" style="179" customWidth="1"/>
    <col min="6921" max="6921" width="5.85546875" style="179" customWidth="1"/>
    <col min="6922" max="6922" width="7.5703125" style="179" customWidth="1"/>
    <col min="6923" max="6923" width="7.85546875" style="179" customWidth="1"/>
    <col min="6924" max="6924" width="9.7109375" style="179" customWidth="1"/>
    <col min="6925" max="6925" width="9.28515625" style="179" customWidth="1"/>
    <col min="6926" max="6926" width="7.5703125" style="179" customWidth="1"/>
    <col min="6927" max="6927" width="7.28515625" style="179" customWidth="1"/>
    <col min="6928" max="6928" width="9.140625" style="179" hidden="1" customWidth="1"/>
    <col min="6929" max="6929" width="9.140625" style="179"/>
    <col min="6930" max="6930" width="12.85546875" style="179" customWidth="1"/>
    <col min="6931" max="7169" width="9.140625" style="179"/>
    <col min="7170" max="7170" width="25.7109375" style="179" customWidth="1"/>
    <col min="7171" max="7171" width="10" style="179" customWidth="1"/>
    <col min="7172" max="7172" width="17.5703125" style="179" customWidth="1"/>
    <col min="7173" max="7173" width="5" style="179" customWidth="1"/>
    <col min="7174" max="7174" width="7.5703125" style="179" customWidth="1"/>
    <col min="7175" max="7175" width="7.85546875" style="179" customWidth="1"/>
    <col min="7176" max="7176" width="14.28515625" style="179" customWidth="1"/>
    <col min="7177" max="7177" width="5.85546875" style="179" customWidth="1"/>
    <col min="7178" max="7178" width="7.5703125" style="179" customWidth="1"/>
    <col min="7179" max="7179" width="7.85546875" style="179" customWidth="1"/>
    <col min="7180" max="7180" width="9.7109375" style="179" customWidth="1"/>
    <col min="7181" max="7181" width="9.28515625" style="179" customWidth="1"/>
    <col min="7182" max="7182" width="7.5703125" style="179" customWidth="1"/>
    <col min="7183" max="7183" width="7.28515625" style="179" customWidth="1"/>
    <col min="7184" max="7184" width="9.140625" style="179" hidden="1" customWidth="1"/>
    <col min="7185" max="7185" width="9.140625" style="179"/>
    <col min="7186" max="7186" width="12.85546875" style="179" customWidth="1"/>
    <col min="7187" max="7425" width="9.140625" style="179"/>
    <col min="7426" max="7426" width="25.7109375" style="179" customWidth="1"/>
    <col min="7427" max="7427" width="10" style="179" customWidth="1"/>
    <col min="7428" max="7428" width="17.5703125" style="179" customWidth="1"/>
    <col min="7429" max="7429" width="5" style="179" customWidth="1"/>
    <col min="7430" max="7430" width="7.5703125" style="179" customWidth="1"/>
    <col min="7431" max="7431" width="7.85546875" style="179" customWidth="1"/>
    <col min="7432" max="7432" width="14.28515625" style="179" customWidth="1"/>
    <col min="7433" max="7433" width="5.85546875" style="179" customWidth="1"/>
    <col min="7434" max="7434" width="7.5703125" style="179" customWidth="1"/>
    <col min="7435" max="7435" width="7.85546875" style="179" customWidth="1"/>
    <col min="7436" max="7436" width="9.7109375" style="179" customWidth="1"/>
    <col min="7437" max="7437" width="9.28515625" style="179" customWidth="1"/>
    <col min="7438" max="7438" width="7.5703125" style="179" customWidth="1"/>
    <col min="7439" max="7439" width="7.28515625" style="179" customWidth="1"/>
    <col min="7440" max="7440" width="9.140625" style="179" hidden="1" customWidth="1"/>
    <col min="7441" max="7441" width="9.140625" style="179"/>
    <col min="7442" max="7442" width="12.85546875" style="179" customWidth="1"/>
    <col min="7443" max="7681" width="9.140625" style="179"/>
    <col min="7682" max="7682" width="25.7109375" style="179" customWidth="1"/>
    <col min="7683" max="7683" width="10" style="179" customWidth="1"/>
    <col min="7684" max="7684" width="17.5703125" style="179" customWidth="1"/>
    <col min="7685" max="7685" width="5" style="179" customWidth="1"/>
    <col min="7686" max="7686" width="7.5703125" style="179" customWidth="1"/>
    <col min="7687" max="7687" width="7.85546875" style="179" customWidth="1"/>
    <col min="7688" max="7688" width="14.28515625" style="179" customWidth="1"/>
    <col min="7689" max="7689" width="5.85546875" style="179" customWidth="1"/>
    <col min="7690" max="7690" width="7.5703125" style="179" customWidth="1"/>
    <col min="7691" max="7691" width="7.85546875" style="179" customWidth="1"/>
    <col min="7692" max="7692" width="9.7109375" style="179" customWidth="1"/>
    <col min="7693" max="7693" width="9.28515625" style="179" customWidth="1"/>
    <col min="7694" max="7694" width="7.5703125" style="179" customWidth="1"/>
    <col min="7695" max="7695" width="7.28515625" style="179" customWidth="1"/>
    <col min="7696" max="7696" width="9.140625" style="179" hidden="1" customWidth="1"/>
    <col min="7697" max="7697" width="9.140625" style="179"/>
    <col min="7698" max="7698" width="12.85546875" style="179" customWidth="1"/>
    <col min="7699" max="7937" width="9.140625" style="179"/>
    <col min="7938" max="7938" width="25.7109375" style="179" customWidth="1"/>
    <col min="7939" max="7939" width="10" style="179" customWidth="1"/>
    <col min="7940" max="7940" width="17.5703125" style="179" customWidth="1"/>
    <col min="7941" max="7941" width="5" style="179" customWidth="1"/>
    <col min="7942" max="7942" width="7.5703125" style="179" customWidth="1"/>
    <col min="7943" max="7943" width="7.85546875" style="179" customWidth="1"/>
    <col min="7944" max="7944" width="14.28515625" style="179" customWidth="1"/>
    <col min="7945" max="7945" width="5.85546875" style="179" customWidth="1"/>
    <col min="7946" max="7946" width="7.5703125" style="179" customWidth="1"/>
    <col min="7947" max="7947" width="7.85546875" style="179" customWidth="1"/>
    <col min="7948" max="7948" width="9.7109375" style="179" customWidth="1"/>
    <col min="7949" max="7949" width="9.28515625" style="179" customWidth="1"/>
    <col min="7950" max="7950" width="7.5703125" style="179" customWidth="1"/>
    <col min="7951" max="7951" width="7.28515625" style="179" customWidth="1"/>
    <col min="7952" max="7952" width="9.140625" style="179" hidden="1" customWidth="1"/>
    <col min="7953" max="7953" width="9.140625" style="179"/>
    <col min="7954" max="7954" width="12.85546875" style="179" customWidth="1"/>
    <col min="7955" max="8193" width="9.140625" style="179"/>
    <col min="8194" max="8194" width="25.7109375" style="179" customWidth="1"/>
    <col min="8195" max="8195" width="10" style="179" customWidth="1"/>
    <col min="8196" max="8196" width="17.5703125" style="179" customWidth="1"/>
    <col min="8197" max="8197" width="5" style="179" customWidth="1"/>
    <col min="8198" max="8198" width="7.5703125" style="179" customWidth="1"/>
    <col min="8199" max="8199" width="7.85546875" style="179" customWidth="1"/>
    <col min="8200" max="8200" width="14.28515625" style="179" customWidth="1"/>
    <col min="8201" max="8201" width="5.85546875" style="179" customWidth="1"/>
    <col min="8202" max="8202" width="7.5703125" style="179" customWidth="1"/>
    <col min="8203" max="8203" width="7.85546875" style="179" customWidth="1"/>
    <col min="8204" max="8204" width="9.7109375" style="179" customWidth="1"/>
    <col min="8205" max="8205" width="9.28515625" style="179" customWidth="1"/>
    <col min="8206" max="8206" width="7.5703125" style="179" customWidth="1"/>
    <col min="8207" max="8207" width="7.28515625" style="179" customWidth="1"/>
    <col min="8208" max="8208" width="9.140625" style="179" hidden="1" customWidth="1"/>
    <col min="8209" max="8209" width="9.140625" style="179"/>
    <col min="8210" max="8210" width="12.85546875" style="179" customWidth="1"/>
    <col min="8211" max="8449" width="9.140625" style="179"/>
    <col min="8450" max="8450" width="25.7109375" style="179" customWidth="1"/>
    <col min="8451" max="8451" width="10" style="179" customWidth="1"/>
    <col min="8452" max="8452" width="17.5703125" style="179" customWidth="1"/>
    <col min="8453" max="8453" width="5" style="179" customWidth="1"/>
    <col min="8454" max="8454" width="7.5703125" style="179" customWidth="1"/>
    <col min="8455" max="8455" width="7.85546875" style="179" customWidth="1"/>
    <col min="8456" max="8456" width="14.28515625" style="179" customWidth="1"/>
    <col min="8457" max="8457" width="5.85546875" style="179" customWidth="1"/>
    <col min="8458" max="8458" width="7.5703125" style="179" customWidth="1"/>
    <col min="8459" max="8459" width="7.85546875" style="179" customWidth="1"/>
    <col min="8460" max="8460" width="9.7109375" style="179" customWidth="1"/>
    <col min="8461" max="8461" width="9.28515625" style="179" customWidth="1"/>
    <col min="8462" max="8462" width="7.5703125" style="179" customWidth="1"/>
    <col min="8463" max="8463" width="7.28515625" style="179" customWidth="1"/>
    <col min="8464" max="8464" width="9.140625" style="179" hidden="1" customWidth="1"/>
    <col min="8465" max="8465" width="9.140625" style="179"/>
    <col min="8466" max="8466" width="12.85546875" style="179" customWidth="1"/>
    <col min="8467" max="8705" width="9.140625" style="179"/>
    <col min="8706" max="8706" width="25.7109375" style="179" customWidth="1"/>
    <col min="8707" max="8707" width="10" style="179" customWidth="1"/>
    <col min="8708" max="8708" width="17.5703125" style="179" customWidth="1"/>
    <col min="8709" max="8709" width="5" style="179" customWidth="1"/>
    <col min="8710" max="8710" width="7.5703125" style="179" customWidth="1"/>
    <col min="8711" max="8711" width="7.85546875" style="179" customWidth="1"/>
    <col min="8712" max="8712" width="14.28515625" style="179" customWidth="1"/>
    <col min="8713" max="8713" width="5.85546875" style="179" customWidth="1"/>
    <col min="8714" max="8714" width="7.5703125" style="179" customWidth="1"/>
    <col min="8715" max="8715" width="7.85546875" style="179" customWidth="1"/>
    <col min="8716" max="8716" width="9.7109375" style="179" customWidth="1"/>
    <col min="8717" max="8717" width="9.28515625" style="179" customWidth="1"/>
    <col min="8718" max="8718" width="7.5703125" style="179" customWidth="1"/>
    <col min="8719" max="8719" width="7.28515625" style="179" customWidth="1"/>
    <col min="8720" max="8720" width="9.140625" style="179" hidden="1" customWidth="1"/>
    <col min="8721" max="8721" width="9.140625" style="179"/>
    <col min="8722" max="8722" width="12.85546875" style="179" customWidth="1"/>
    <col min="8723" max="8961" width="9.140625" style="179"/>
    <col min="8962" max="8962" width="25.7109375" style="179" customWidth="1"/>
    <col min="8963" max="8963" width="10" style="179" customWidth="1"/>
    <col min="8964" max="8964" width="17.5703125" style="179" customWidth="1"/>
    <col min="8965" max="8965" width="5" style="179" customWidth="1"/>
    <col min="8966" max="8966" width="7.5703125" style="179" customWidth="1"/>
    <col min="8967" max="8967" width="7.85546875" style="179" customWidth="1"/>
    <col min="8968" max="8968" width="14.28515625" style="179" customWidth="1"/>
    <col min="8969" max="8969" width="5.85546875" style="179" customWidth="1"/>
    <col min="8970" max="8970" width="7.5703125" style="179" customWidth="1"/>
    <col min="8971" max="8971" width="7.85546875" style="179" customWidth="1"/>
    <col min="8972" max="8972" width="9.7109375" style="179" customWidth="1"/>
    <col min="8973" max="8973" width="9.28515625" style="179" customWidth="1"/>
    <col min="8974" max="8974" width="7.5703125" style="179" customWidth="1"/>
    <col min="8975" max="8975" width="7.28515625" style="179" customWidth="1"/>
    <col min="8976" max="8976" width="9.140625" style="179" hidden="1" customWidth="1"/>
    <col min="8977" max="8977" width="9.140625" style="179"/>
    <col min="8978" max="8978" width="12.85546875" style="179" customWidth="1"/>
    <col min="8979" max="9217" width="9.140625" style="179"/>
    <col min="9218" max="9218" width="25.7109375" style="179" customWidth="1"/>
    <col min="9219" max="9219" width="10" style="179" customWidth="1"/>
    <col min="9220" max="9220" width="17.5703125" style="179" customWidth="1"/>
    <col min="9221" max="9221" width="5" style="179" customWidth="1"/>
    <col min="9222" max="9222" width="7.5703125" style="179" customWidth="1"/>
    <col min="9223" max="9223" width="7.85546875" style="179" customWidth="1"/>
    <col min="9224" max="9224" width="14.28515625" style="179" customWidth="1"/>
    <col min="9225" max="9225" width="5.85546875" style="179" customWidth="1"/>
    <col min="9226" max="9226" width="7.5703125" style="179" customWidth="1"/>
    <col min="9227" max="9227" width="7.85546875" style="179" customWidth="1"/>
    <col min="9228" max="9228" width="9.7109375" style="179" customWidth="1"/>
    <col min="9229" max="9229" width="9.28515625" style="179" customWidth="1"/>
    <col min="9230" max="9230" width="7.5703125" style="179" customWidth="1"/>
    <col min="9231" max="9231" width="7.28515625" style="179" customWidth="1"/>
    <col min="9232" max="9232" width="9.140625" style="179" hidden="1" customWidth="1"/>
    <col min="9233" max="9233" width="9.140625" style="179"/>
    <col min="9234" max="9234" width="12.85546875" style="179" customWidth="1"/>
    <col min="9235" max="9473" width="9.140625" style="179"/>
    <col min="9474" max="9474" width="25.7109375" style="179" customWidth="1"/>
    <col min="9475" max="9475" width="10" style="179" customWidth="1"/>
    <col min="9476" max="9476" width="17.5703125" style="179" customWidth="1"/>
    <col min="9477" max="9477" width="5" style="179" customWidth="1"/>
    <col min="9478" max="9478" width="7.5703125" style="179" customWidth="1"/>
    <col min="9479" max="9479" width="7.85546875" style="179" customWidth="1"/>
    <col min="9480" max="9480" width="14.28515625" style="179" customWidth="1"/>
    <col min="9481" max="9481" width="5.85546875" style="179" customWidth="1"/>
    <col min="9482" max="9482" width="7.5703125" style="179" customWidth="1"/>
    <col min="9483" max="9483" width="7.85546875" style="179" customWidth="1"/>
    <col min="9484" max="9484" width="9.7109375" style="179" customWidth="1"/>
    <col min="9485" max="9485" width="9.28515625" style="179" customWidth="1"/>
    <col min="9486" max="9486" width="7.5703125" style="179" customWidth="1"/>
    <col min="9487" max="9487" width="7.28515625" style="179" customWidth="1"/>
    <col min="9488" max="9488" width="9.140625" style="179" hidden="1" customWidth="1"/>
    <col min="9489" max="9489" width="9.140625" style="179"/>
    <col min="9490" max="9490" width="12.85546875" style="179" customWidth="1"/>
    <col min="9491" max="9729" width="9.140625" style="179"/>
    <col min="9730" max="9730" width="25.7109375" style="179" customWidth="1"/>
    <col min="9731" max="9731" width="10" style="179" customWidth="1"/>
    <col min="9732" max="9732" width="17.5703125" style="179" customWidth="1"/>
    <col min="9733" max="9733" width="5" style="179" customWidth="1"/>
    <col min="9734" max="9734" width="7.5703125" style="179" customWidth="1"/>
    <col min="9735" max="9735" width="7.85546875" style="179" customWidth="1"/>
    <col min="9736" max="9736" width="14.28515625" style="179" customWidth="1"/>
    <col min="9737" max="9737" width="5.85546875" style="179" customWidth="1"/>
    <col min="9738" max="9738" width="7.5703125" style="179" customWidth="1"/>
    <col min="9739" max="9739" width="7.85546875" style="179" customWidth="1"/>
    <col min="9740" max="9740" width="9.7109375" style="179" customWidth="1"/>
    <col min="9741" max="9741" width="9.28515625" style="179" customWidth="1"/>
    <col min="9742" max="9742" width="7.5703125" style="179" customWidth="1"/>
    <col min="9743" max="9743" width="7.28515625" style="179" customWidth="1"/>
    <col min="9744" max="9744" width="9.140625" style="179" hidden="1" customWidth="1"/>
    <col min="9745" max="9745" width="9.140625" style="179"/>
    <col min="9746" max="9746" width="12.85546875" style="179" customWidth="1"/>
    <col min="9747" max="9985" width="9.140625" style="179"/>
    <col min="9986" max="9986" width="25.7109375" style="179" customWidth="1"/>
    <col min="9987" max="9987" width="10" style="179" customWidth="1"/>
    <col min="9988" max="9988" width="17.5703125" style="179" customWidth="1"/>
    <col min="9989" max="9989" width="5" style="179" customWidth="1"/>
    <col min="9990" max="9990" width="7.5703125" style="179" customWidth="1"/>
    <col min="9991" max="9991" width="7.85546875" style="179" customWidth="1"/>
    <col min="9992" max="9992" width="14.28515625" style="179" customWidth="1"/>
    <col min="9993" max="9993" width="5.85546875" style="179" customWidth="1"/>
    <col min="9994" max="9994" width="7.5703125" style="179" customWidth="1"/>
    <col min="9995" max="9995" width="7.85546875" style="179" customWidth="1"/>
    <col min="9996" max="9996" width="9.7109375" style="179" customWidth="1"/>
    <col min="9997" max="9997" width="9.28515625" style="179" customWidth="1"/>
    <col min="9998" max="9998" width="7.5703125" style="179" customWidth="1"/>
    <col min="9999" max="9999" width="7.28515625" style="179" customWidth="1"/>
    <col min="10000" max="10000" width="9.140625" style="179" hidden="1" customWidth="1"/>
    <col min="10001" max="10001" width="9.140625" style="179"/>
    <col min="10002" max="10002" width="12.85546875" style="179" customWidth="1"/>
    <col min="10003" max="10241" width="9.140625" style="179"/>
    <col min="10242" max="10242" width="25.7109375" style="179" customWidth="1"/>
    <col min="10243" max="10243" width="10" style="179" customWidth="1"/>
    <col min="10244" max="10244" width="17.5703125" style="179" customWidth="1"/>
    <col min="10245" max="10245" width="5" style="179" customWidth="1"/>
    <col min="10246" max="10246" width="7.5703125" style="179" customWidth="1"/>
    <col min="10247" max="10247" width="7.85546875" style="179" customWidth="1"/>
    <col min="10248" max="10248" width="14.28515625" style="179" customWidth="1"/>
    <col min="10249" max="10249" width="5.85546875" style="179" customWidth="1"/>
    <col min="10250" max="10250" width="7.5703125" style="179" customWidth="1"/>
    <col min="10251" max="10251" width="7.85546875" style="179" customWidth="1"/>
    <col min="10252" max="10252" width="9.7109375" style="179" customWidth="1"/>
    <col min="10253" max="10253" width="9.28515625" style="179" customWidth="1"/>
    <col min="10254" max="10254" width="7.5703125" style="179" customWidth="1"/>
    <col min="10255" max="10255" width="7.28515625" style="179" customWidth="1"/>
    <col min="10256" max="10256" width="9.140625" style="179" hidden="1" customWidth="1"/>
    <col min="10257" max="10257" width="9.140625" style="179"/>
    <col min="10258" max="10258" width="12.85546875" style="179" customWidth="1"/>
    <col min="10259" max="10497" width="9.140625" style="179"/>
    <col min="10498" max="10498" width="25.7109375" style="179" customWidth="1"/>
    <col min="10499" max="10499" width="10" style="179" customWidth="1"/>
    <col min="10500" max="10500" width="17.5703125" style="179" customWidth="1"/>
    <col min="10501" max="10501" width="5" style="179" customWidth="1"/>
    <col min="10502" max="10502" width="7.5703125" style="179" customWidth="1"/>
    <col min="10503" max="10503" width="7.85546875" style="179" customWidth="1"/>
    <col min="10504" max="10504" width="14.28515625" style="179" customWidth="1"/>
    <col min="10505" max="10505" width="5.85546875" style="179" customWidth="1"/>
    <col min="10506" max="10506" width="7.5703125" style="179" customWidth="1"/>
    <col min="10507" max="10507" width="7.85546875" style="179" customWidth="1"/>
    <col min="10508" max="10508" width="9.7109375" style="179" customWidth="1"/>
    <col min="10509" max="10509" width="9.28515625" style="179" customWidth="1"/>
    <col min="10510" max="10510" width="7.5703125" style="179" customWidth="1"/>
    <col min="10511" max="10511" width="7.28515625" style="179" customWidth="1"/>
    <col min="10512" max="10512" width="9.140625" style="179" hidden="1" customWidth="1"/>
    <col min="10513" max="10513" width="9.140625" style="179"/>
    <col min="10514" max="10514" width="12.85546875" style="179" customWidth="1"/>
    <col min="10515" max="10753" width="9.140625" style="179"/>
    <col min="10754" max="10754" width="25.7109375" style="179" customWidth="1"/>
    <col min="10755" max="10755" width="10" style="179" customWidth="1"/>
    <col min="10756" max="10756" width="17.5703125" style="179" customWidth="1"/>
    <col min="10757" max="10757" width="5" style="179" customWidth="1"/>
    <col min="10758" max="10758" width="7.5703125" style="179" customWidth="1"/>
    <col min="10759" max="10759" width="7.85546875" style="179" customWidth="1"/>
    <col min="10760" max="10760" width="14.28515625" style="179" customWidth="1"/>
    <col min="10761" max="10761" width="5.85546875" style="179" customWidth="1"/>
    <col min="10762" max="10762" width="7.5703125" style="179" customWidth="1"/>
    <col min="10763" max="10763" width="7.85546875" style="179" customWidth="1"/>
    <col min="10764" max="10764" width="9.7109375" style="179" customWidth="1"/>
    <col min="10765" max="10765" width="9.28515625" style="179" customWidth="1"/>
    <col min="10766" max="10766" width="7.5703125" style="179" customWidth="1"/>
    <col min="10767" max="10767" width="7.28515625" style="179" customWidth="1"/>
    <col min="10768" max="10768" width="9.140625" style="179" hidden="1" customWidth="1"/>
    <col min="10769" max="10769" width="9.140625" style="179"/>
    <col min="10770" max="10770" width="12.85546875" style="179" customWidth="1"/>
    <col min="10771" max="11009" width="9.140625" style="179"/>
    <col min="11010" max="11010" width="25.7109375" style="179" customWidth="1"/>
    <col min="11011" max="11011" width="10" style="179" customWidth="1"/>
    <col min="11012" max="11012" width="17.5703125" style="179" customWidth="1"/>
    <col min="11013" max="11013" width="5" style="179" customWidth="1"/>
    <col min="11014" max="11014" width="7.5703125" style="179" customWidth="1"/>
    <col min="11015" max="11015" width="7.85546875" style="179" customWidth="1"/>
    <col min="11016" max="11016" width="14.28515625" style="179" customWidth="1"/>
    <col min="11017" max="11017" width="5.85546875" style="179" customWidth="1"/>
    <col min="11018" max="11018" width="7.5703125" style="179" customWidth="1"/>
    <col min="11019" max="11019" width="7.85546875" style="179" customWidth="1"/>
    <col min="11020" max="11020" width="9.7109375" style="179" customWidth="1"/>
    <col min="11021" max="11021" width="9.28515625" style="179" customWidth="1"/>
    <col min="11022" max="11022" width="7.5703125" style="179" customWidth="1"/>
    <col min="11023" max="11023" width="7.28515625" style="179" customWidth="1"/>
    <col min="11024" max="11024" width="9.140625" style="179" hidden="1" customWidth="1"/>
    <col min="11025" max="11025" width="9.140625" style="179"/>
    <col min="11026" max="11026" width="12.85546875" style="179" customWidth="1"/>
    <col min="11027" max="11265" width="9.140625" style="179"/>
    <col min="11266" max="11266" width="25.7109375" style="179" customWidth="1"/>
    <col min="11267" max="11267" width="10" style="179" customWidth="1"/>
    <col min="11268" max="11268" width="17.5703125" style="179" customWidth="1"/>
    <col min="11269" max="11269" width="5" style="179" customWidth="1"/>
    <col min="11270" max="11270" width="7.5703125" style="179" customWidth="1"/>
    <col min="11271" max="11271" width="7.85546875" style="179" customWidth="1"/>
    <col min="11272" max="11272" width="14.28515625" style="179" customWidth="1"/>
    <col min="11273" max="11273" width="5.85546875" style="179" customWidth="1"/>
    <col min="11274" max="11274" width="7.5703125" style="179" customWidth="1"/>
    <col min="11275" max="11275" width="7.85546875" style="179" customWidth="1"/>
    <col min="11276" max="11276" width="9.7109375" style="179" customWidth="1"/>
    <col min="11277" max="11277" width="9.28515625" style="179" customWidth="1"/>
    <col min="11278" max="11278" width="7.5703125" style="179" customWidth="1"/>
    <col min="11279" max="11279" width="7.28515625" style="179" customWidth="1"/>
    <col min="11280" max="11280" width="9.140625" style="179" hidden="1" customWidth="1"/>
    <col min="11281" max="11281" width="9.140625" style="179"/>
    <col min="11282" max="11282" width="12.85546875" style="179" customWidth="1"/>
    <col min="11283" max="11521" width="9.140625" style="179"/>
    <col min="11522" max="11522" width="25.7109375" style="179" customWidth="1"/>
    <col min="11523" max="11523" width="10" style="179" customWidth="1"/>
    <col min="11524" max="11524" width="17.5703125" style="179" customWidth="1"/>
    <col min="11525" max="11525" width="5" style="179" customWidth="1"/>
    <col min="11526" max="11526" width="7.5703125" style="179" customWidth="1"/>
    <col min="11527" max="11527" width="7.85546875" style="179" customWidth="1"/>
    <col min="11528" max="11528" width="14.28515625" style="179" customWidth="1"/>
    <col min="11529" max="11529" width="5.85546875" style="179" customWidth="1"/>
    <col min="11530" max="11530" width="7.5703125" style="179" customWidth="1"/>
    <col min="11531" max="11531" width="7.85546875" style="179" customWidth="1"/>
    <col min="11532" max="11532" width="9.7109375" style="179" customWidth="1"/>
    <col min="11533" max="11533" width="9.28515625" style="179" customWidth="1"/>
    <col min="11534" max="11534" width="7.5703125" style="179" customWidth="1"/>
    <col min="11535" max="11535" width="7.28515625" style="179" customWidth="1"/>
    <col min="11536" max="11536" width="9.140625" style="179" hidden="1" customWidth="1"/>
    <col min="11537" max="11537" width="9.140625" style="179"/>
    <col min="11538" max="11538" width="12.85546875" style="179" customWidth="1"/>
    <col min="11539" max="11777" width="9.140625" style="179"/>
    <col min="11778" max="11778" width="25.7109375" style="179" customWidth="1"/>
    <col min="11779" max="11779" width="10" style="179" customWidth="1"/>
    <col min="11780" max="11780" width="17.5703125" style="179" customWidth="1"/>
    <col min="11781" max="11781" width="5" style="179" customWidth="1"/>
    <col min="11782" max="11782" width="7.5703125" style="179" customWidth="1"/>
    <col min="11783" max="11783" width="7.85546875" style="179" customWidth="1"/>
    <col min="11784" max="11784" width="14.28515625" style="179" customWidth="1"/>
    <col min="11785" max="11785" width="5.85546875" style="179" customWidth="1"/>
    <col min="11786" max="11786" width="7.5703125" style="179" customWidth="1"/>
    <col min="11787" max="11787" width="7.85546875" style="179" customWidth="1"/>
    <col min="11788" max="11788" width="9.7109375" style="179" customWidth="1"/>
    <col min="11789" max="11789" width="9.28515625" style="179" customWidth="1"/>
    <col min="11790" max="11790" width="7.5703125" style="179" customWidth="1"/>
    <col min="11791" max="11791" width="7.28515625" style="179" customWidth="1"/>
    <col min="11792" max="11792" width="9.140625" style="179" hidden="1" customWidth="1"/>
    <col min="11793" max="11793" width="9.140625" style="179"/>
    <col min="11794" max="11794" width="12.85546875" style="179" customWidth="1"/>
    <col min="11795" max="12033" width="9.140625" style="179"/>
    <col min="12034" max="12034" width="25.7109375" style="179" customWidth="1"/>
    <col min="12035" max="12035" width="10" style="179" customWidth="1"/>
    <col min="12036" max="12036" width="17.5703125" style="179" customWidth="1"/>
    <col min="12037" max="12037" width="5" style="179" customWidth="1"/>
    <col min="12038" max="12038" width="7.5703125" style="179" customWidth="1"/>
    <col min="12039" max="12039" width="7.85546875" style="179" customWidth="1"/>
    <col min="12040" max="12040" width="14.28515625" style="179" customWidth="1"/>
    <col min="12041" max="12041" width="5.85546875" style="179" customWidth="1"/>
    <col min="12042" max="12042" width="7.5703125" style="179" customWidth="1"/>
    <col min="12043" max="12043" width="7.85546875" style="179" customWidth="1"/>
    <col min="12044" max="12044" width="9.7109375" style="179" customWidth="1"/>
    <col min="12045" max="12045" width="9.28515625" style="179" customWidth="1"/>
    <col min="12046" max="12046" width="7.5703125" style="179" customWidth="1"/>
    <col min="12047" max="12047" width="7.28515625" style="179" customWidth="1"/>
    <col min="12048" max="12048" width="9.140625" style="179" hidden="1" customWidth="1"/>
    <col min="12049" max="12049" width="9.140625" style="179"/>
    <col min="12050" max="12050" width="12.85546875" style="179" customWidth="1"/>
    <col min="12051" max="12289" width="9.140625" style="179"/>
    <col min="12290" max="12290" width="25.7109375" style="179" customWidth="1"/>
    <col min="12291" max="12291" width="10" style="179" customWidth="1"/>
    <col min="12292" max="12292" width="17.5703125" style="179" customWidth="1"/>
    <col min="12293" max="12293" width="5" style="179" customWidth="1"/>
    <col min="12294" max="12294" width="7.5703125" style="179" customWidth="1"/>
    <col min="12295" max="12295" width="7.85546875" style="179" customWidth="1"/>
    <col min="12296" max="12296" width="14.28515625" style="179" customWidth="1"/>
    <col min="12297" max="12297" width="5.85546875" style="179" customWidth="1"/>
    <col min="12298" max="12298" width="7.5703125" style="179" customWidth="1"/>
    <col min="12299" max="12299" width="7.85546875" style="179" customWidth="1"/>
    <col min="12300" max="12300" width="9.7109375" style="179" customWidth="1"/>
    <col min="12301" max="12301" width="9.28515625" style="179" customWidth="1"/>
    <col min="12302" max="12302" width="7.5703125" style="179" customWidth="1"/>
    <col min="12303" max="12303" width="7.28515625" style="179" customWidth="1"/>
    <col min="12304" max="12304" width="9.140625" style="179" hidden="1" customWidth="1"/>
    <col min="12305" max="12305" width="9.140625" style="179"/>
    <col min="12306" max="12306" width="12.85546875" style="179" customWidth="1"/>
    <col min="12307" max="12545" width="9.140625" style="179"/>
    <col min="12546" max="12546" width="25.7109375" style="179" customWidth="1"/>
    <col min="12547" max="12547" width="10" style="179" customWidth="1"/>
    <col min="12548" max="12548" width="17.5703125" style="179" customWidth="1"/>
    <col min="12549" max="12549" width="5" style="179" customWidth="1"/>
    <col min="12550" max="12550" width="7.5703125" style="179" customWidth="1"/>
    <col min="12551" max="12551" width="7.85546875" style="179" customWidth="1"/>
    <col min="12552" max="12552" width="14.28515625" style="179" customWidth="1"/>
    <col min="12553" max="12553" width="5.85546875" style="179" customWidth="1"/>
    <col min="12554" max="12554" width="7.5703125" style="179" customWidth="1"/>
    <col min="12555" max="12555" width="7.85546875" style="179" customWidth="1"/>
    <col min="12556" max="12556" width="9.7109375" style="179" customWidth="1"/>
    <col min="12557" max="12557" width="9.28515625" style="179" customWidth="1"/>
    <col min="12558" max="12558" width="7.5703125" style="179" customWidth="1"/>
    <col min="12559" max="12559" width="7.28515625" style="179" customWidth="1"/>
    <col min="12560" max="12560" width="9.140625" style="179" hidden="1" customWidth="1"/>
    <col min="12561" max="12561" width="9.140625" style="179"/>
    <col min="12562" max="12562" width="12.85546875" style="179" customWidth="1"/>
    <col min="12563" max="12801" width="9.140625" style="179"/>
    <col min="12802" max="12802" width="25.7109375" style="179" customWidth="1"/>
    <col min="12803" max="12803" width="10" style="179" customWidth="1"/>
    <col min="12804" max="12804" width="17.5703125" style="179" customWidth="1"/>
    <col min="12805" max="12805" width="5" style="179" customWidth="1"/>
    <col min="12806" max="12806" width="7.5703125" style="179" customWidth="1"/>
    <col min="12807" max="12807" width="7.85546875" style="179" customWidth="1"/>
    <col min="12808" max="12808" width="14.28515625" style="179" customWidth="1"/>
    <col min="12809" max="12809" width="5.85546875" style="179" customWidth="1"/>
    <col min="12810" max="12810" width="7.5703125" style="179" customWidth="1"/>
    <col min="12811" max="12811" width="7.85546875" style="179" customWidth="1"/>
    <col min="12812" max="12812" width="9.7109375" style="179" customWidth="1"/>
    <col min="12813" max="12813" width="9.28515625" style="179" customWidth="1"/>
    <col min="12814" max="12814" width="7.5703125" style="179" customWidth="1"/>
    <col min="12815" max="12815" width="7.28515625" style="179" customWidth="1"/>
    <col min="12816" max="12816" width="9.140625" style="179" hidden="1" customWidth="1"/>
    <col min="12817" max="12817" width="9.140625" style="179"/>
    <col min="12818" max="12818" width="12.85546875" style="179" customWidth="1"/>
    <col min="12819" max="13057" width="9.140625" style="179"/>
    <col min="13058" max="13058" width="25.7109375" style="179" customWidth="1"/>
    <col min="13059" max="13059" width="10" style="179" customWidth="1"/>
    <col min="13060" max="13060" width="17.5703125" style="179" customWidth="1"/>
    <col min="13061" max="13061" width="5" style="179" customWidth="1"/>
    <col min="13062" max="13062" width="7.5703125" style="179" customWidth="1"/>
    <col min="13063" max="13063" width="7.85546875" style="179" customWidth="1"/>
    <col min="13064" max="13064" width="14.28515625" style="179" customWidth="1"/>
    <col min="13065" max="13065" width="5.85546875" style="179" customWidth="1"/>
    <col min="13066" max="13066" width="7.5703125" style="179" customWidth="1"/>
    <col min="13067" max="13067" width="7.85546875" style="179" customWidth="1"/>
    <col min="13068" max="13068" width="9.7109375" style="179" customWidth="1"/>
    <col min="13069" max="13069" width="9.28515625" style="179" customWidth="1"/>
    <col min="13070" max="13070" width="7.5703125" style="179" customWidth="1"/>
    <col min="13071" max="13071" width="7.28515625" style="179" customWidth="1"/>
    <col min="13072" max="13072" width="9.140625" style="179" hidden="1" customWidth="1"/>
    <col min="13073" max="13073" width="9.140625" style="179"/>
    <col min="13074" max="13074" width="12.85546875" style="179" customWidth="1"/>
    <col min="13075" max="13313" width="9.140625" style="179"/>
    <col min="13314" max="13314" width="25.7109375" style="179" customWidth="1"/>
    <col min="13315" max="13315" width="10" style="179" customWidth="1"/>
    <col min="13316" max="13316" width="17.5703125" style="179" customWidth="1"/>
    <col min="13317" max="13317" width="5" style="179" customWidth="1"/>
    <col min="13318" max="13318" width="7.5703125" style="179" customWidth="1"/>
    <col min="13319" max="13319" width="7.85546875" style="179" customWidth="1"/>
    <col min="13320" max="13320" width="14.28515625" style="179" customWidth="1"/>
    <col min="13321" max="13321" width="5.85546875" style="179" customWidth="1"/>
    <col min="13322" max="13322" width="7.5703125" style="179" customWidth="1"/>
    <col min="13323" max="13323" width="7.85546875" style="179" customWidth="1"/>
    <col min="13324" max="13324" width="9.7109375" style="179" customWidth="1"/>
    <col min="13325" max="13325" width="9.28515625" style="179" customWidth="1"/>
    <col min="13326" max="13326" width="7.5703125" style="179" customWidth="1"/>
    <col min="13327" max="13327" width="7.28515625" style="179" customWidth="1"/>
    <col min="13328" max="13328" width="9.140625" style="179" hidden="1" customWidth="1"/>
    <col min="13329" max="13329" width="9.140625" style="179"/>
    <col min="13330" max="13330" width="12.85546875" style="179" customWidth="1"/>
    <col min="13331" max="13569" width="9.140625" style="179"/>
    <col min="13570" max="13570" width="25.7109375" style="179" customWidth="1"/>
    <col min="13571" max="13571" width="10" style="179" customWidth="1"/>
    <col min="13572" max="13572" width="17.5703125" style="179" customWidth="1"/>
    <col min="13573" max="13573" width="5" style="179" customWidth="1"/>
    <col min="13574" max="13574" width="7.5703125" style="179" customWidth="1"/>
    <col min="13575" max="13575" width="7.85546875" style="179" customWidth="1"/>
    <col min="13576" max="13576" width="14.28515625" style="179" customWidth="1"/>
    <col min="13577" max="13577" width="5.85546875" style="179" customWidth="1"/>
    <col min="13578" max="13578" width="7.5703125" style="179" customWidth="1"/>
    <col min="13579" max="13579" width="7.85546875" style="179" customWidth="1"/>
    <col min="13580" max="13580" width="9.7109375" style="179" customWidth="1"/>
    <col min="13581" max="13581" width="9.28515625" style="179" customWidth="1"/>
    <col min="13582" max="13582" width="7.5703125" style="179" customWidth="1"/>
    <col min="13583" max="13583" width="7.28515625" style="179" customWidth="1"/>
    <col min="13584" max="13584" width="9.140625" style="179" hidden="1" customWidth="1"/>
    <col min="13585" max="13585" width="9.140625" style="179"/>
    <col min="13586" max="13586" width="12.85546875" style="179" customWidth="1"/>
    <col min="13587" max="13825" width="9.140625" style="179"/>
    <col min="13826" max="13826" width="25.7109375" style="179" customWidth="1"/>
    <col min="13827" max="13827" width="10" style="179" customWidth="1"/>
    <col min="13828" max="13828" width="17.5703125" style="179" customWidth="1"/>
    <col min="13829" max="13829" width="5" style="179" customWidth="1"/>
    <col min="13830" max="13830" width="7.5703125" style="179" customWidth="1"/>
    <col min="13831" max="13831" width="7.85546875" style="179" customWidth="1"/>
    <col min="13832" max="13832" width="14.28515625" style="179" customWidth="1"/>
    <col min="13833" max="13833" width="5.85546875" style="179" customWidth="1"/>
    <col min="13834" max="13834" width="7.5703125" style="179" customWidth="1"/>
    <col min="13835" max="13835" width="7.85546875" style="179" customWidth="1"/>
    <col min="13836" max="13836" width="9.7109375" style="179" customWidth="1"/>
    <col min="13837" max="13837" width="9.28515625" style="179" customWidth="1"/>
    <col min="13838" max="13838" width="7.5703125" style="179" customWidth="1"/>
    <col min="13839" max="13839" width="7.28515625" style="179" customWidth="1"/>
    <col min="13840" max="13840" width="9.140625" style="179" hidden="1" customWidth="1"/>
    <col min="13841" max="13841" width="9.140625" style="179"/>
    <col min="13842" max="13842" width="12.85546875" style="179" customWidth="1"/>
    <col min="13843" max="14081" width="9.140625" style="179"/>
    <col min="14082" max="14082" width="25.7109375" style="179" customWidth="1"/>
    <col min="14083" max="14083" width="10" style="179" customWidth="1"/>
    <col min="14084" max="14084" width="17.5703125" style="179" customWidth="1"/>
    <col min="14085" max="14085" width="5" style="179" customWidth="1"/>
    <col min="14086" max="14086" width="7.5703125" style="179" customWidth="1"/>
    <col min="14087" max="14087" width="7.85546875" style="179" customWidth="1"/>
    <col min="14088" max="14088" width="14.28515625" style="179" customWidth="1"/>
    <col min="14089" max="14089" width="5.85546875" style="179" customWidth="1"/>
    <col min="14090" max="14090" width="7.5703125" style="179" customWidth="1"/>
    <col min="14091" max="14091" width="7.85546875" style="179" customWidth="1"/>
    <col min="14092" max="14092" width="9.7109375" style="179" customWidth="1"/>
    <col min="14093" max="14093" width="9.28515625" style="179" customWidth="1"/>
    <col min="14094" max="14094" width="7.5703125" style="179" customWidth="1"/>
    <col min="14095" max="14095" width="7.28515625" style="179" customWidth="1"/>
    <col min="14096" max="14096" width="9.140625" style="179" hidden="1" customWidth="1"/>
    <col min="14097" max="14097" width="9.140625" style="179"/>
    <col min="14098" max="14098" width="12.85546875" style="179" customWidth="1"/>
    <col min="14099" max="14337" width="9.140625" style="179"/>
    <col min="14338" max="14338" width="25.7109375" style="179" customWidth="1"/>
    <col min="14339" max="14339" width="10" style="179" customWidth="1"/>
    <col min="14340" max="14340" width="17.5703125" style="179" customWidth="1"/>
    <col min="14341" max="14341" width="5" style="179" customWidth="1"/>
    <col min="14342" max="14342" width="7.5703125" style="179" customWidth="1"/>
    <col min="14343" max="14343" width="7.85546875" style="179" customWidth="1"/>
    <col min="14344" max="14344" width="14.28515625" style="179" customWidth="1"/>
    <col min="14345" max="14345" width="5.85546875" style="179" customWidth="1"/>
    <col min="14346" max="14346" width="7.5703125" style="179" customWidth="1"/>
    <col min="14347" max="14347" width="7.85546875" style="179" customWidth="1"/>
    <col min="14348" max="14348" width="9.7109375" style="179" customWidth="1"/>
    <col min="14349" max="14349" width="9.28515625" style="179" customWidth="1"/>
    <col min="14350" max="14350" width="7.5703125" style="179" customWidth="1"/>
    <col min="14351" max="14351" width="7.28515625" style="179" customWidth="1"/>
    <col min="14352" max="14352" width="9.140625" style="179" hidden="1" customWidth="1"/>
    <col min="14353" max="14353" width="9.140625" style="179"/>
    <col min="14354" max="14354" width="12.85546875" style="179" customWidth="1"/>
    <col min="14355" max="14593" width="9.140625" style="179"/>
    <col min="14594" max="14594" width="25.7109375" style="179" customWidth="1"/>
    <col min="14595" max="14595" width="10" style="179" customWidth="1"/>
    <col min="14596" max="14596" width="17.5703125" style="179" customWidth="1"/>
    <col min="14597" max="14597" width="5" style="179" customWidth="1"/>
    <col min="14598" max="14598" width="7.5703125" style="179" customWidth="1"/>
    <col min="14599" max="14599" width="7.85546875" style="179" customWidth="1"/>
    <col min="14600" max="14600" width="14.28515625" style="179" customWidth="1"/>
    <col min="14601" max="14601" width="5.85546875" style="179" customWidth="1"/>
    <col min="14602" max="14602" width="7.5703125" style="179" customWidth="1"/>
    <col min="14603" max="14603" width="7.85546875" style="179" customWidth="1"/>
    <col min="14604" max="14604" width="9.7109375" style="179" customWidth="1"/>
    <col min="14605" max="14605" width="9.28515625" style="179" customWidth="1"/>
    <col min="14606" max="14606" width="7.5703125" style="179" customWidth="1"/>
    <col min="14607" max="14607" width="7.28515625" style="179" customWidth="1"/>
    <col min="14608" max="14608" width="9.140625" style="179" hidden="1" customWidth="1"/>
    <col min="14609" max="14609" width="9.140625" style="179"/>
    <col min="14610" max="14610" width="12.85546875" style="179" customWidth="1"/>
    <col min="14611" max="14849" width="9.140625" style="179"/>
    <col min="14850" max="14850" width="25.7109375" style="179" customWidth="1"/>
    <col min="14851" max="14851" width="10" style="179" customWidth="1"/>
    <col min="14852" max="14852" width="17.5703125" style="179" customWidth="1"/>
    <col min="14853" max="14853" width="5" style="179" customWidth="1"/>
    <col min="14854" max="14854" width="7.5703125" style="179" customWidth="1"/>
    <col min="14855" max="14855" width="7.85546875" style="179" customWidth="1"/>
    <col min="14856" max="14856" width="14.28515625" style="179" customWidth="1"/>
    <col min="14857" max="14857" width="5.85546875" style="179" customWidth="1"/>
    <col min="14858" max="14858" width="7.5703125" style="179" customWidth="1"/>
    <col min="14859" max="14859" width="7.85546875" style="179" customWidth="1"/>
    <col min="14860" max="14860" width="9.7109375" style="179" customWidth="1"/>
    <col min="14861" max="14861" width="9.28515625" style="179" customWidth="1"/>
    <col min="14862" max="14862" width="7.5703125" style="179" customWidth="1"/>
    <col min="14863" max="14863" width="7.28515625" style="179" customWidth="1"/>
    <col min="14864" max="14864" width="9.140625" style="179" hidden="1" customWidth="1"/>
    <col min="14865" max="14865" width="9.140625" style="179"/>
    <col min="14866" max="14866" width="12.85546875" style="179" customWidth="1"/>
    <col min="14867" max="15105" width="9.140625" style="179"/>
    <col min="15106" max="15106" width="25.7109375" style="179" customWidth="1"/>
    <col min="15107" max="15107" width="10" style="179" customWidth="1"/>
    <col min="15108" max="15108" width="17.5703125" style="179" customWidth="1"/>
    <col min="15109" max="15109" width="5" style="179" customWidth="1"/>
    <col min="15110" max="15110" width="7.5703125" style="179" customWidth="1"/>
    <col min="15111" max="15111" width="7.85546875" style="179" customWidth="1"/>
    <col min="15112" max="15112" width="14.28515625" style="179" customWidth="1"/>
    <col min="15113" max="15113" width="5.85546875" style="179" customWidth="1"/>
    <col min="15114" max="15114" width="7.5703125" style="179" customWidth="1"/>
    <col min="15115" max="15115" width="7.85546875" style="179" customWidth="1"/>
    <col min="15116" max="15116" width="9.7109375" style="179" customWidth="1"/>
    <col min="15117" max="15117" width="9.28515625" style="179" customWidth="1"/>
    <col min="15118" max="15118" width="7.5703125" style="179" customWidth="1"/>
    <col min="15119" max="15119" width="7.28515625" style="179" customWidth="1"/>
    <col min="15120" max="15120" width="9.140625" style="179" hidden="1" customWidth="1"/>
    <col min="15121" max="15121" width="9.140625" style="179"/>
    <col min="15122" max="15122" width="12.85546875" style="179" customWidth="1"/>
    <col min="15123" max="15361" width="9.140625" style="179"/>
    <col min="15362" max="15362" width="25.7109375" style="179" customWidth="1"/>
    <col min="15363" max="15363" width="10" style="179" customWidth="1"/>
    <col min="15364" max="15364" width="17.5703125" style="179" customWidth="1"/>
    <col min="15365" max="15365" width="5" style="179" customWidth="1"/>
    <col min="15366" max="15366" width="7.5703125" style="179" customWidth="1"/>
    <col min="15367" max="15367" width="7.85546875" style="179" customWidth="1"/>
    <col min="15368" max="15368" width="14.28515625" style="179" customWidth="1"/>
    <col min="15369" max="15369" width="5.85546875" style="179" customWidth="1"/>
    <col min="15370" max="15370" width="7.5703125" style="179" customWidth="1"/>
    <col min="15371" max="15371" width="7.85546875" style="179" customWidth="1"/>
    <col min="15372" max="15372" width="9.7109375" style="179" customWidth="1"/>
    <col min="15373" max="15373" width="9.28515625" style="179" customWidth="1"/>
    <col min="15374" max="15374" width="7.5703125" style="179" customWidth="1"/>
    <col min="15375" max="15375" width="7.28515625" style="179" customWidth="1"/>
    <col min="15376" max="15376" width="9.140625" style="179" hidden="1" customWidth="1"/>
    <col min="15377" max="15377" width="9.140625" style="179"/>
    <col min="15378" max="15378" width="12.85546875" style="179" customWidth="1"/>
    <col min="15379" max="15617" width="9.140625" style="179"/>
    <col min="15618" max="15618" width="25.7109375" style="179" customWidth="1"/>
    <col min="15619" max="15619" width="10" style="179" customWidth="1"/>
    <col min="15620" max="15620" width="17.5703125" style="179" customWidth="1"/>
    <col min="15621" max="15621" width="5" style="179" customWidth="1"/>
    <col min="15622" max="15622" width="7.5703125" style="179" customWidth="1"/>
    <col min="15623" max="15623" width="7.85546875" style="179" customWidth="1"/>
    <col min="15624" max="15624" width="14.28515625" style="179" customWidth="1"/>
    <col min="15625" max="15625" width="5.85546875" style="179" customWidth="1"/>
    <col min="15626" max="15626" width="7.5703125" style="179" customWidth="1"/>
    <col min="15627" max="15627" width="7.85546875" style="179" customWidth="1"/>
    <col min="15628" max="15628" width="9.7109375" style="179" customWidth="1"/>
    <col min="15629" max="15629" width="9.28515625" style="179" customWidth="1"/>
    <col min="15630" max="15630" width="7.5703125" style="179" customWidth="1"/>
    <col min="15631" max="15631" width="7.28515625" style="179" customWidth="1"/>
    <col min="15632" max="15632" width="9.140625" style="179" hidden="1" customWidth="1"/>
    <col min="15633" max="15633" width="9.140625" style="179"/>
    <col min="15634" max="15634" width="12.85546875" style="179" customWidth="1"/>
    <col min="15635" max="15873" width="9.140625" style="179"/>
    <col min="15874" max="15874" width="25.7109375" style="179" customWidth="1"/>
    <col min="15875" max="15875" width="10" style="179" customWidth="1"/>
    <col min="15876" max="15876" width="17.5703125" style="179" customWidth="1"/>
    <col min="15877" max="15877" width="5" style="179" customWidth="1"/>
    <col min="15878" max="15878" width="7.5703125" style="179" customWidth="1"/>
    <col min="15879" max="15879" width="7.85546875" style="179" customWidth="1"/>
    <col min="15880" max="15880" width="14.28515625" style="179" customWidth="1"/>
    <col min="15881" max="15881" width="5.85546875" style="179" customWidth="1"/>
    <col min="15882" max="15882" width="7.5703125" style="179" customWidth="1"/>
    <col min="15883" max="15883" width="7.85546875" style="179" customWidth="1"/>
    <col min="15884" max="15884" width="9.7109375" style="179" customWidth="1"/>
    <col min="15885" max="15885" width="9.28515625" style="179" customWidth="1"/>
    <col min="15886" max="15886" width="7.5703125" style="179" customWidth="1"/>
    <col min="15887" max="15887" width="7.28515625" style="179" customWidth="1"/>
    <col min="15888" max="15888" width="9.140625" style="179" hidden="1" customWidth="1"/>
    <col min="15889" max="15889" width="9.140625" style="179"/>
    <col min="15890" max="15890" width="12.85546875" style="179" customWidth="1"/>
    <col min="15891" max="16129" width="9.140625" style="179"/>
    <col min="16130" max="16130" width="25.7109375" style="179" customWidth="1"/>
    <col min="16131" max="16131" width="10" style="179" customWidth="1"/>
    <col min="16132" max="16132" width="17.5703125" style="179" customWidth="1"/>
    <col min="16133" max="16133" width="5" style="179" customWidth="1"/>
    <col min="16134" max="16134" width="7.5703125" style="179" customWidth="1"/>
    <col min="16135" max="16135" width="7.85546875" style="179" customWidth="1"/>
    <col min="16136" max="16136" width="14.28515625" style="179" customWidth="1"/>
    <col min="16137" max="16137" width="5.85546875" style="179" customWidth="1"/>
    <col min="16138" max="16138" width="7.5703125" style="179" customWidth="1"/>
    <col min="16139" max="16139" width="7.85546875" style="179" customWidth="1"/>
    <col min="16140" max="16140" width="9.7109375" style="179" customWidth="1"/>
    <col min="16141" max="16141" width="9.28515625" style="179" customWidth="1"/>
    <col min="16142" max="16142" width="7.5703125" style="179" customWidth="1"/>
    <col min="16143" max="16143" width="7.28515625" style="179" customWidth="1"/>
    <col min="16144" max="16144" width="9.140625" style="179" hidden="1" customWidth="1"/>
    <col min="16145" max="16145" width="9.140625" style="179"/>
    <col min="16146" max="16146" width="12.85546875" style="179" customWidth="1"/>
    <col min="16147" max="16384" width="9.140625" style="179"/>
  </cols>
  <sheetData>
    <row r="1" spans="2:18">
      <c r="B1" s="177"/>
      <c r="C1" s="177"/>
      <c r="D1" s="178"/>
      <c r="E1" s="178"/>
      <c r="F1" s="178"/>
      <c r="G1" s="178"/>
      <c r="H1" s="178"/>
      <c r="I1" s="178"/>
      <c r="J1" s="178"/>
      <c r="K1" s="178"/>
      <c r="L1" s="178"/>
      <c r="M1" s="178"/>
      <c r="N1" s="178"/>
      <c r="O1" s="178"/>
      <c r="P1" s="178"/>
      <c r="Q1" s="178"/>
      <c r="R1" s="178"/>
    </row>
    <row r="2" spans="2:18">
      <c r="B2" s="565" t="s">
        <v>471</v>
      </c>
      <c r="C2" s="565"/>
      <c r="D2" s="565"/>
      <c r="E2" s="565"/>
      <c r="F2" s="565"/>
      <c r="G2" s="565"/>
      <c r="H2" s="565"/>
      <c r="I2" s="565"/>
      <c r="J2" s="565"/>
      <c r="K2" s="565"/>
      <c r="L2" s="565"/>
      <c r="M2" s="565"/>
      <c r="N2" s="565"/>
      <c r="O2" s="565"/>
      <c r="P2" s="565"/>
      <c r="Q2" s="565"/>
      <c r="R2" s="565"/>
    </row>
    <row r="3" spans="2:18" ht="18.75">
      <c r="B3" s="566" t="s">
        <v>472</v>
      </c>
      <c r="C3" s="566"/>
      <c r="D3" s="566"/>
      <c r="E3" s="566"/>
      <c r="F3" s="566"/>
      <c r="G3" s="566"/>
      <c r="H3" s="566"/>
      <c r="I3" s="566"/>
      <c r="J3" s="566"/>
      <c r="K3" s="566"/>
      <c r="L3" s="566"/>
      <c r="M3" s="566"/>
      <c r="N3" s="566"/>
      <c r="O3" s="566"/>
      <c r="P3" s="566"/>
      <c r="Q3" s="566"/>
      <c r="R3" s="566"/>
    </row>
    <row r="4" spans="2:18" ht="12.75" customHeight="1">
      <c r="B4" s="565" t="s">
        <v>4</v>
      </c>
      <c r="C4" s="567" t="s">
        <v>605</v>
      </c>
      <c r="D4" s="569" t="s">
        <v>473</v>
      </c>
      <c r="E4" s="193" t="s">
        <v>474</v>
      </c>
      <c r="F4" s="570" t="s">
        <v>475</v>
      </c>
      <c r="G4" s="570"/>
      <c r="H4" s="570"/>
      <c r="I4" s="195"/>
      <c r="J4" s="565" t="s">
        <v>476</v>
      </c>
      <c r="K4" s="565"/>
      <c r="L4" s="565"/>
      <c r="M4" s="565" t="s">
        <v>477</v>
      </c>
      <c r="N4" s="571" t="s">
        <v>478</v>
      </c>
      <c r="O4" s="572"/>
      <c r="P4" s="572"/>
      <c r="Q4" s="573"/>
      <c r="R4" s="570" t="s">
        <v>365</v>
      </c>
    </row>
    <row r="5" spans="2:18" ht="40.5" customHeight="1">
      <c r="B5" s="565"/>
      <c r="C5" s="568"/>
      <c r="D5" s="569"/>
      <c r="E5" s="193" t="s">
        <v>479</v>
      </c>
      <c r="F5" s="195" t="s">
        <v>480</v>
      </c>
      <c r="G5" s="194" t="s">
        <v>481</v>
      </c>
      <c r="H5" s="193" t="s">
        <v>482</v>
      </c>
      <c r="I5" s="193" t="s">
        <v>483</v>
      </c>
      <c r="J5" s="195" t="s">
        <v>480</v>
      </c>
      <c r="K5" s="193" t="s">
        <v>481</v>
      </c>
      <c r="L5" s="193" t="s">
        <v>482</v>
      </c>
      <c r="M5" s="565"/>
      <c r="N5" s="180" t="s">
        <v>484</v>
      </c>
      <c r="O5" s="181" t="s">
        <v>485</v>
      </c>
      <c r="P5" s="180" t="s">
        <v>606</v>
      </c>
      <c r="Q5" s="180" t="s">
        <v>486</v>
      </c>
      <c r="R5" s="570"/>
    </row>
    <row r="6" spans="2:18" ht="17.25" customHeight="1">
      <c r="B6" s="337" t="s">
        <v>607</v>
      </c>
      <c r="C6" s="182" t="s">
        <v>608</v>
      </c>
      <c r="D6" s="182">
        <f>25*10.76</f>
        <v>269</v>
      </c>
      <c r="E6" s="183">
        <f>D6*(4*3.28)</f>
        <v>3529.2799999999997</v>
      </c>
      <c r="F6" s="182">
        <v>0</v>
      </c>
      <c r="G6" s="182">
        <v>100</v>
      </c>
      <c r="H6" s="182">
        <v>0</v>
      </c>
      <c r="I6" s="182">
        <v>1.7999999999999999E-2</v>
      </c>
      <c r="J6" s="182">
        <v>0.04</v>
      </c>
      <c r="K6" s="182">
        <v>0.06</v>
      </c>
      <c r="L6" s="182">
        <v>0.45</v>
      </c>
      <c r="M6" s="182">
        <v>60</v>
      </c>
      <c r="N6" s="184">
        <f>((E6*I6)+(F6*J6)+(G6*K6)+(H6*L6))*M6</f>
        <v>4171.6224000000002</v>
      </c>
      <c r="O6" s="185">
        <f>N6/3414</f>
        <v>1.221916344463972</v>
      </c>
      <c r="P6" s="193">
        <v>1.3</v>
      </c>
      <c r="Q6" s="182">
        <v>1</v>
      </c>
      <c r="R6" s="186"/>
    </row>
    <row r="7" spans="2:18" ht="17.25" customHeight="1">
      <c r="B7" s="337" t="s">
        <v>609</v>
      </c>
      <c r="C7" s="182" t="s">
        <v>610</v>
      </c>
      <c r="D7" s="182">
        <f>25*10.76</f>
        <v>269</v>
      </c>
      <c r="E7" s="183">
        <f>D7*(4*3.28)</f>
        <v>3529.2799999999997</v>
      </c>
      <c r="F7" s="182">
        <v>0</v>
      </c>
      <c r="G7" s="182">
        <v>0</v>
      </c>
      <c r="H7" s="182">
        <v>0</v>
      </c>
      <c r="I7" s="182">
        <v>1.7999999999999999E-2</v>
      </c>
      <c r="J7" s="182">
        <v>0.04</v>
      </c>
      <c r="K7" s="182">
        <v>0.06</v>
      </c>
      <c r="L7" s="182">
        <v>0.45</v>
      </c>
      <c r="M7" s="182">
        <v>60</v>
      </c>
      <c r="N7" s="184">
        <f>((E7*I7)+(F7*J7)+(G7*K7)+(H7*L7))*M7</f>
        <v>3811.6223999999997</v>
      </c>
      <c r="O7" s="185">
        <f>N7/3414</f>
        <v>1.1164681898066784</v>
      </c>
      <c r="P7" s="193">
        <v>1.3</v>
      </c>
      <c r="Q7" s="182">
        <v>1</v>
      </c>
      <c r="R7" s="186"/>
    </row>
    <row r="11" spans="2:18">
      <c r="B11" s="338" t="s">
        <v>611</v>
      </c>
    </row>
    <row r="12" spans="2:18">
      <c r="B12" s="564" t="s">
        <v>612</v>
      </c>
      <c r="C12" s="564"/>
      <c r="D12" s="564"/>
      <c r="E12" s="564"/>
      <c r="F12" s="564"/>
      <c r="G12" s="564"/>
      <c r="H12" s="564"/>
    </row>
  </sheetData>
  <mergeCells count="11">
    <mergeCell ref="B12:H12"/>
    <mergeCell ref="B2:R2"/>
    <mergeCell ref="B3:R3"/>
    <mergeCell ref="B4:B5"/>
    <mergeCell ref="C4:C5"/>
    <mergeCell ref="D4:D5"/>
    <mergeCell ref="F4:H4"/>
    <mergeCell ref="J4:L4"/>
    <mergeCell ref="M4:M5"/>
    <mergeCell ref="N4:Q4"/>
    <mergeCell ref="R4:R5"/>
  </mergeCells>
  <pageMargins left="0.75" right="0.75" top="1" bottom="1" header="0.51111111111111096" footer="0.51111111111111096"/>
  <pageSetup paperSize="9" orientation="portrait"/>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C5"/>
  <sheetViews>
    <sheetView workbookViewId="0">
      <selection activeCell="E4" sqref="E4"/>
    </sheetView>
  </sheetViews>
  <sheetFormatPr defaultColWidth="10.28515625" defaultRowHeight="15"/>
  <cols>
    <col min="1" max="1" width="18.42578125" style="188" customWidth="1"/>
    <col min="2" max="2" width="21.140625" style="353" customWidth="1"/>
    <col min="3" max="3" width="10.140625" style="188" customWidth="1"/>
    <col min="4" max="4" width="32.28515625" style="188" customWidth="1"/>
    <col min="5" max="5" width="13" style="188" customWidth="1"/>
    <col min="6" max="6" width="20.5703125" style="188" customWidth="1"/>
    <col min="7" max="7" width="16.85546875" style="188" customWidth="1"/>
    <col min="8" max="8" width="12.140625" style="188" customWidth="1"/>
    <col min="9" max="9" width="14.140625" style="188" hidden="1" customWidth="1"/>
    <col min="10" max="10" width="23.28515625" style="188" hidden="1" customWidth="1"/>
    <col min="11" max="16383" width="10.28515625" style="188"/>
    <col min="16384" max="16384" width="10.28515625" style="196"/>
  </cols>
  <sheetData>
    <row r="1" spans="1:10" s="188" customFormat="1" ht="18.75">
      <c r="A1" s="559" t="s">
        <v>682</v>
      </c>
      <c r="B1" s="559"/>
      <c r="C1" s="559"/>
      <c r="D1" s="559"/>
      <c r="E1" s="559"/>
      <c r="F1" s="559"/>
      <c r="G1" s="559"/>
      <c r="H1" s="559"/>
    </row>
    <row r="2" spans="1:10" s="188" customFormat="1" ht="67.5" customHeight="1">
      <c r="A2" s="339" t="s">
        <v>489</v>
      </c>
      <c r="B2" s="340" t="s">
        <v>135</v>
      </c>
      <c r="C2" s="339" t="s">
        <v>5</v>
      </c>
      <c r="D2" s="339" t="s">
        <v>130</v>
      </c>
      <c r="E2" s="341" t="s">
        <v>490</v>
      </c>
      <c r="F2" s="342" t="s">
        <v>491</v>
      </c>
      <c r="G2" s="343" t="s">
        <v>493</v>
      </c>
      <c r="H2" s="189" t="s">
        <v>494</v>
      </c>
      <c r="I2" s="190" t="s">
        <v>495</v>
      </c>
      <c r="J2" s="190" t="s">
        <v>496</v>
      </c>
    </row>
    <row r="3" spans="1:10">
      <c r="A3" s="560" t="s">
        <v>415</v>
      </c>
      <c r="B3" s="344" t="s">
        <v>683</v>
      </c>
      <c r="C3" s="345">
        <v>1</v>
      </c>
      <c r="D3" s="346" t="s">
        <v>684</v>
      </c>
      <c r="E3" s="347">
        <v>1275</v>
      </c>
      <c r="F3" s="348">
        <v>0</v>
      </c>
      <c r="G3" s="349" t="s">
        <v>616</v>
      </c>
      <c r="H3" s="191">
        <v>580</v>
      </c>
      <c r="I3" s="350" t="s">
        <v>501</v>
      </c>
      <c r="J3" s="191" t="s">
        <v>502</v>
      </c>
    </row>
    <row r="4" spans="1:10">
      <c r="A4" s="561"/>
      <c r="B4" s="344" t="s">
        <v>685</v>
      </c>
      <c r="C4" s="351">
        <v>1</v>
      </c>
      <c r="D4" s="346" t="s">
        <v>686</v>
      </c>
      <c r="E4" s="347">
        <v>540</v>
      </c>
      <c r="F4" s="348">
        <v>0</v>
      </c>
      <c r="G4" s="349" t="s">
        <v>616</v>
      </c>
      <c r="H4" s="349">
        <v>235</v>
      </c>
      <c r="I4" s="349" t="s">
        <v>501</v>
      </c>
      <c r="J4" s="349" t="s">
        <v>505</v>
      </c>
    </row>
    <row r="5" spans="1:10" s="188" customFormat="1">
      <c r="A5" s="563" t="s">
        <v>528</v>
      </c>
      <c r="B5" s="563"/>
      <c r="C5" s="563"/>
      <c r="D5" s="563"/>
      <c r="E5" s="563"/>
      <c r="F5" s="563"/>
      <c r="G5" s="563"/>
      <c r="H5" s="563"/>
    </row>
  </sheetData>
  <mergeCells count="3">
    <mergeCell ref="A1:H1"/>
    <mergeCell ref="A3:A4"/>
    <mergeCell ref="A5:H5"/>
  </mergeCells>
  <pageMargins left="0.7" right="0.7" top="0.75" bottom="0.75" header="0.3" footer="0.3"/>
  <pageSetup paperSize="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zoomScale="70" zoomScaleNormal="70" workbookViewId="0">
      <selection activeCell="I31" sqref="I31"/>
    </sheetView>
  </sheetViews>
  <sheetFormatPr defaultColWidth="10.28515625" defaultRowHeight="14.25"/>
  <cols>
    <col min="1" max="1" width="16.28515625" style="188" customWidth="1"/>
    <col min="2" max="2" width="28.5703125" style="353" customWidth="1"/>
    <col min="3" max="3" width="10.140625" style="188" customWidth="1"/>
    <col min="4" max="4" width="31" style="188" customWidth="1"/>
    <col min="5" max="5" width="19.42578125" style="188" customWidth="1"/>
    <col min="6" max="6" width="20.5703125" style="188" customWidth="1"/>
    <col min="7" max="7" width="33.42578125" style="188" customWidth="1"/>
    <col min="8" max="8" width="16.85546875" style="188" customWidth="1"/>
    <col min="9" max="9" width="11.85546875" style="188" customWidth="1"/>
    <col min="10" max="16384" width="10.28515625" style="188"/>
  </cols>
  <sheetData>
    <row r="1" spans="1:9" ht="30.75" customHeight="1" thickBot="1">
      <c r="A1" s="574" t="s">
        <v>529</v>
      </c>
      <c r="B1" s="575"/>
      <c r="C1" s="575"/>
      <c r="D1" s="575"/>
      <c r="E1" s="575"/>
      <c r="F1" s="575"/>
      <c r="G1" s="575"/>
      <c r="H1" s="575"/>
      <c r="I1" s="576"/>
    </row>
    <row r="2" spans="1:9" ht="67.5" customHeight="1">
      <c r="A2" s="354" t="s">
        <v>489</v>
      </c>
      <c r="B2" s="340" t="s">
        <v>135</v>
      </c>
      <c r="C2" s="339" t="s">
        <v>5</v>
      </c>
      <c r="D2" s="339" t="s">
        <v>530</v>
      </c>
      <c r="E2" s="341" t="s">
        <v>625</v>
      </c>
      <c r="F2" s="342" t="s">
        <v>491</v>
      </c>
      <c r="G2" s="343" t="s">
        <v>492</v>
      </c>
      <c r="H2" s="343" t="s">
        <v>493</v>
      </c>
      <c r="I2" s="192" t="s">
        <v>531</v>
      </c>
    </row>
    <row r="3" spans="1:9" ht="15.75">
      <c r="A3" s="577" t="s">
        <v>386</v>
      </c>
      <c r="B3" s="355" t="s">
        <v>532</v>
      </c>
      <c r="C3" s="356">
        <v>1</v>
      </c>
      <c r="D3" s="357" t="s">
        <v>626</v>
      </c>
      <c r="E3" s="350">
        <v>91</v>
      </c>
      <c r="F3" s="347">
        <v>70</v>
      </c>
      <c r="G3" s="349" t="s">
        <v>503</v>
      </c>
      <c r="H3" s="349" t="s">
        <v>627</v>
      </c>
      <c r="I3" s="349">
        <v>95</v>
      </c>
    </row>
    <row r="4" spans="1:9" ht="15.75">
      <c r="A4" s="578"/>
      <c r="B4" s="355" t="s">
        <v>533</v>
      </c>
      <c r="C4" s="356">
        <v>1</v>
      </c>
      <c r="D4" s="357" t="s">
        <v>628</v>
      </c>
      <c r="E4" s="350">
        <v>164</v>
      </c>
      <c r="F4" s="347">
        <v>100</v>
      </c>
      <c r="G4" s="349" t="s">
        <v>503</v>
      </c>
      <c r="H4" s="349" t="s">
        <v>627</v>
      </c>
      <c r="I4" s="349">
        <v>178</v>
      </c>
    </row>
    <row r="5" spans="1:9" ht="15">
      <c r="A5" s="579" t="s">
        <v>534</v>
      </c>
      <c r="B5" s="579"/>
      <c r="C5" s="579"/>
      <c r="D5" s="579"/>
      <c r="E5" s="579"/>
      <c r="F5" s="579"/>
      <c r="G5" s="579"/>
      <c r="H5" s="579"/>
      <c r="I5" s="579"/>
    </row>
  </sheetData>
  <mergeCells count="3">
    <mergeCell ref="A1:I1"/>
    <mergeCell ref="A3:A4"/>
    <mergeCell ref="A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8"/>
  <sheetViews>
    <sheetView zoomScaleNormal="100" workbookViewId="0">
      <selection activeCell="G21" sqref="G21"/>
    </sheetView>
  </sheetViews>
  <sheetFormatPr defaultColWidth="10.28515625" defaultRowHeight="14.25"/>
  <cols>
    <col min="1" max="1" width="18.42578125" style="188" customWidth="1"/>
    <col min="2" max="2" width="21.140625" style="353" customWidth="1"/>
    <col min="3" max="3" width="10.140625" style="188" customWidth="1"/>
    <col min="4" max="4" width="32.28515625" style="188" customWidth="1"/>
    <col min="5" max="5" width="13" style="188" customWidth="1"/>
    <col min="6" max="6" width="20.5703125" style="188" customWidth="1"/>
    <col min="7" max="7" width="35.7109375" style="188" customWidth="1"/>
    <col min="8" max="8" width="16.85546875" style="188" customWidth="1"/>
    <col min="9" max="9" width="12.140625" style="188" customWidth="1"/>
    <col min="10" max="10" width="14.140625" style="188" hidden="1" customWidth="1"/>
    <col min="11" max="11" width="23.28515625" style="188" hidden="1" customWidth="1"/>
    <col min="12" max="16384" width="10.28515625" style="188"/>
  </cols>
  <sheetData>
    <row r="1" spans="1:11" ht="18.75">
      <c r="A1" s="559" t="s">
        <v>488</v>
      </c>
      <c r="B1" s="559"/>
      <c r="C1" s="559"/>
      <c r="D1" s="559"/>
      <c r="E1" s="559"/>
      <c r="F1" s="559"/>
      <c r="G1" s="559"/>
      <c r="H1" s="559"/>
      <c r="I1" s="559"/>
    </row>
    <row r="2" spans="1:11" ht="67.5" customHeight="1">
      <c r="A2" s="339" t="s">
        <v>489</v>
      </c>
      <c r="B2" s="340" t="s">
        <v>135</v>
      </c>
      <c r="C2" s="339" t="s">
        <v>5</v>
      </c>
      <c r="D2" s="339" t="s">
        <v>130</v>
      </c>
      <c r="E2" s="341" t="s">
        <v>490</v>
      </c>
      <c r="F2" s="342" t="s">
        <v>491</v>
      </c>
      <c r="G2" s="343" t="s">
        <v>492</v>
      </c>
      <c r="H2" s="343" t="s">
        <v>493</v>
      </c>
      <c r="I2" s="189" t="s">
        <v>494</v>
      </c>
      <c r="J2" s="190" t="s">
        <v>495</v>
      </c>
      <c r="K2" s="190" t="s">
        <v>496</v>
      </c>
    </row>
    <row r="3" spans="1:11" s="353" customFormat="1">
      <c r="A3" s="582" t="s">
        <v>415</v>
      </c>
      <c r="B3" s="344" t="s">
        <v>497</v>
      </c>
      <c r="C3" s="361">
        <v>1</v>
      </c>
      <c r="D3" s="362" t="s">
        <v>498</v>
      </c>
      <c r="E3" s="363">
        <v>311</v>
      </c>
      <c r="F3" s="364">
        <v>500</v>
      </c>
      <c r="G3" s="344" t="s">
        <v>499</v>
      </c>
      <c r="H3" s="344" t="s">
        <v>500</v>
      </c>
      <c r="I3" s="365">
        <v>255</v>
      </c>
      <c r="J3" s="366" t="s">
        <v>501</v>
      </c>
      <c r="K3" s="365" t="s">
        <v>502</v>
      </c>
    </row>
    <row r="4" spans="1:11" s="353" customFormat="1">
      <c r="A4" s="583"/>
      <c r="B4" s="344" t="s">
        <v>620</v>
      </c>
      <c r="C4" s="361">
        <v>1</v>
      </c>
      <c r="D4" s="584" t="s">
        <v>487</v>
      </c>
      <c r="E4" s="363">
        <f>176/2</f>
        <v>88</v>
      </c>
      <c r="F4" s="364">
        <v>70</v>
      </c>
      <c r="G4" s="580" t="s">
        <v>503</v>
      </c>
      <c r="H4" s="580" t="s">
        <v>504</v>
      </c>
      <c r="I4" s="580">
        <v>70</v>
      </c>
      <c r="J4" s="580" t="s">
        <v>501</v>
      </c>
      <c r="K4" s="580" t="s">
        <v>505</v>
      </c>
    </row>
    <row r="5" spans="1:11" s="353" customFormat="1">
      <c r="A5" s="583"/>
      <c r="B5" s="344" t="s">
        <v>506</v>
      </c>
      <c r="C5" s="367">
        <v>1</v>
      </c>
      <c r="D5" s="584"/>
      <c r="E5" s="363">
        <f>E4</f>
        <v>88</v>
      </c>
      <c r="F5" s="364">
        <v>70</v>
      </c>
      <c r="G5" s="580"/>
      <c r="H5" s="580"/>
      <c r="I5" s="580"/>
      <c r="J5" s="580"/>
      <c r="K5" s="580"/>
    </row>
    <row r="6" spans="1:11" s="353" customFormat="1">
      <c r="A6" s="583"/>
      <c r="B6" s="344" t="s">
        <v>508</v>
      </c>
      <c r="C6" s="361">
        <v>1</v>
      </c>
      <c r="D6" s="368" t="s">
        <v>451</v>
      </c>
      <c r="E6" s="369">
        <v>56</v>
      </c>
      <c r="F6" s="366">
        <v>50</v>
      </c>
      <c r="G6" s="366" t="s">
        <v>527</v>
      </c>
      <c r="H6" s="344" t="s">
        <v>504</v>
      </c>
      <c r="I6" s="366">
        <v>70</v>
      </c>
      <c r="J6" s="370"/>
      <c r="K6" s="370"/>
    </row>
    <row r="7" spans="1:11" s="353" customFormat="1">
      <c r="A7" s="583"/>
      <c r="B7" s="344" t="s">
        <v>509</v>
      </c>
      <c r="C7" s="367">
        <v>1</v>
      </c>
      <c r="D7" s="371" t="s">
        <v>621</v>
      </c>
      <c r="E7" s="369">
        <v>160</v>
      </c>
      <c r="F7" s="366">
        <v>50</v>
      </c>
      <c r="G7" s="366" t="s">
        <v>507</v>
      </c>
      <c r="H7" s="344" t="s">
        <v>504</v>
      </c>
      <c r="I7" s="366">
        <v>120</v>
      </c>
      <c r="J7" s="370"/>
      <c r="K7" s="370"/>
    </row>
    <row r="8" spans="1:11" s="353" customFormat="1">
      <c r="A8" s="583"/>
      <c r="B8" s="344" t="s">
        <v>510</v>
      </c>
      <c r="C8" s="361">
        <v>1</v>
      </c>
      <c r="D8" s="368" t="s">
        <v>511</v>
      </c>
      <c r="E8" s="369">
        <v>50</v>
      </c>
      <c r="F8" s="366">
        <v>50</v>
      </c>
      <c r="G8" s="366" t="s">
        <v>507</v>
      </c>
      <c r="H8" s="344" t="s">
        <v>504</v>
      </c>
      <c r="I8" s="366">
        <v>70</v>
      </c>
      <c r="J8" s="370"/>
      <c r="K8" s="370"/>
    </row>
    <row r="9" spans="1:11" s="353" customFormat="1">
      <c r="A9" s="583"/>
      <c r="B9" s="372" t="s">
        <v>512</v>
      </c>
      <c r="C9" s="373">
        <v>1</v>
      </c>
      <c r="D9" s="374" t="s">
        <v>622</v>
      </c>
      <c r="E9" s="375">
        <v>125</v>
      </c>
      <c r="F9" s="376">
        <v>50</v>
      </c>
      <c r="G9" s="376" t="s">
        <v>507</v>
      </c>
      <c r="H9" s="372" t="s">
        <v>504</v>
      </c>
      <c r="I9" s="376">
        <v>120</v>
      </c>
      <c r="J9" s="370"/>
      <c r="K9" s="370"/>
    </row>
    <row r="10" spans="1:11" s="353" customFormat="1" ht="24">
      <c r="A10" s="583"/>
      <c r="B10" s="372" t="s">
        <v>513</v>
      </c>
      <c r="C10" s="373">
        <v>1</v>
      </c>
      <c r="D10" s="377" t="s">
        <v>514</v>
      </c>
      <c r="E10" s="375">
        <v>155</v>
      </c>
      <c r="F10" s="372">
        <v>100</v>
      </c>
      <c r="G10" s="372" t="s">
        <v>503</v>
      </c>
      <c r="H10" s="372" t="s">
        <v>504</v>
      </c>
      <c r="I10" s="372">
        <v>120</v>
      </c>
      <c r="J10" s="370"/>
      <c r="K10" s="370"/>
    </row>
    <row r="11" spans="1:11" s="380" customFormat="1" ht="36">
      <c r="A11" s="583"/>
      <c r="B11" s="372" t="s">
        <v>515</v>
      </c>
      <c r="C11" s="373">
        <v>1</v>
      </c>
      <c r="D11" s="377" t="s">
        <v>516</v>
      </c>
      <c r="E11" s="378">
        <v>306</v>
      </c>
      <c r="F11" s="372">
        <v>100</v>
      </c>
      <c r="G11" s="372" t="s">
        <v>499</v>
      </c>
      <c r="H11" s="372" t="s">
        <v>500</v>
      </c>
      <c r="I11" s="365">
        <v>255</v>
      </c>
      <c r="J11" s="379"/>
      <c r="K11" s="379"/>
    </row>
    <row r="12" spans="1:11" s="353" customFormat="1">
      <c r="A12" s="583"/>
      <c r="B12" s="344" t="s">
        <v>517</v>
      </c>
      <c r="C12" s="361">
        <v>1</v>
      </c>
      <c r="D12" s="368" t="s">
        <v>518</v>
      </c>
      <c r="E12" s="375">
        <v>128</v>
      </c>
      <c r="F12" s="366">
        <v>100</v>
      </c>
      <c r="G12" s="344" t="s">
        <v>499</v>
      </c>
      <c r="H12" s="344" t="s">
        <v>500</v>
      </c>
      <c r="I12" s="366">
        <v>200</v>
      </c>
      <c r="J12" s="370"/>
      <c r="K12" s="370"/>
    </row>
    <row r="13" spans="1:11" s="353" customFormat="1">
      <c r="A13" s="583"/>
      <c r="B13" s="344" t="s">
        <v>519</v>
      </c>
      <c r="C13" s="361">
        <v>1</v>
      </c>
      <c r="D13" s="368" t="s">
        <v>520</v>
      </c>
      <c r="E13" s="375">
        <v>278</v>
      </c>
      <c r="F13" s="366">
        <v>100</v>
      </c>
      <c r="G13" s="344" t="s">
        <v>499</v>
      </c>
      <c r="H13" s="344" t="s">
        <v>500</v>
      </c>
      <c r="I13" s="366">
        <v>250</v>
      </c>
      <c r="J13" s="370"/>
      <c r="K13" s="370"/>
    </row>
    <row r="14" spans="1:11" s="353" customFormat="1">
      <c r="A14" s="583"/>
      <c r="B14" s="344" t="s">
        <v>521</v>
      </c>
      <c r="C14" s="361">
        <v>1</v>
      </c>
      <c r="D14" s="368" t="s">
        <v>522</v>
      </c>
      <c r="E14" s="375">
        <v>150</v>
      </c>
      <c r="F14" s="366">
        <v>100</v>
      </c>
      <c r="G14" s="344" t="s">
        <v>499</v>
      </c>
      <c r="H14" s="344" t="s">
        <v>500</v>
      </c>
      <c r="I14" s="366">
        <v>120</v>
      </c>
      <c r="J14" s="370"/>
      <c r="K14" s="370"/>
    </row>
    <row r="15" spans="1:11" s="353" customFormat="1">
      <c r="A15" s="581" t="s">
        <v>386</v>
      </c>
      <c r="B15" s="344" t="s">
        <v>523</v>
      </c>
      <c r="C15" s="367">
        <v>1</v>
      </c>
      <c r="D15" s="381" t="s">
        <v>451</v>
      </c>
      <c r="E15" s="382">
        <v>50</v>
      </c>
      <c r="F15" s="383">
        <v>130</v>
      </c>
      <c r="G15" s="344" t="s">
        <v>527</v>
      </c>
      <c r="H15" s="344" t="s">
        <v>504</v>
      </c>
      <c r="I15" s="382">
        <v>28</v>
      </c>
    </row>
    <row r="16" spans="1:11" s="353" customFormat="1">
      <c r="A16" s="581"/>
      <c r="B16" s="344" t="s">
        <v>524</v>
      </c>
      <c r="C16" s="367">
        <v>1</v>
      </c>
      <c r="D16" s="381" t="s">
        <v>623</v>
      </c>
      <c r="E16" s="382">
        <f>25+25+25</f>
        <v>75</v>
      </c>
      <c r="F16" s="383">
        <v>130</v>
      </c>
      <c r="G16" s="344" t="s">
        <v>624</v>
      </c>
      <c r="H16" s="344" t="s">
        <v>504</v>
      </c>
      <c r="I16" s="382">
        <v>95</v>
      </c>
    </row>
    <row r="17" spans="1:9" s="353" customFormat="1">
      <c r="A17" s="581"/>
      <c r="B17" s="344" t="s">
        <v>525</v>
      </c>
      <c r="C17" s="367">
        <v>1</v>
      </c>
      <c r="D17" s="384" t="s">
        <v>526</v>
      </c>
      <c r="E17" s="364">
        <v>36</v>
      </c>
      <c r="F17" s="364">
        <v>50</v>
      </c>
      <c r="G17" s="366" t="s">
        <v>527</v>
      </c>
      <c r="H17" s="344" t="s">
        <v>504</v>
      </c>
      <c r="I17" s="382">
        <v>25</v>
      </c>
    </row>
    <row r="18" spans="1:9" ht="15">
      <c r="A18" s="563" t="s">
        <v>528</v>
      </c>
      <c r="B18" s="563"/>
      <c r="C18" s="563"/>
      <c r="D18" s="563"/>
      <c r="E18" s="563"/>
      <c r="F18" s="563"/>
      <c r="G18" s="563"/>
      <c r="H18" s="563"/>
      <c r="I18" s="563"/>
    </row>
  </sheetData>
  <mergeCells count="10">
    <mergeCell ref="J4:J5"/>
    <mergeCell ref="K4:K5"/>
    <mergeCell ref="A15:A17"/>
    <mergeCell ref="A18:I18"/>
    <mergeCell ref="A1:I1"/>
    <mergeCell ref="A3:A14"/>
    <mergeCell ref="D4:D5"/>
    <mergeCell ref="G4:G5"/>
    <mergeCell ref="H4:H5"/>
    <mergeCell ref="I4:I5"/>
  </mergeCells>
  <pageMargins left="0.7" right="0.7" top="0.75" bottom="0.75"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
  <sheetViews>
    <sheetView workbookViewId="0">
      <selection activeCell="G27" sqref="G27"/>
    </sheetView>
  </sheetViews>
  <sheetFormatPr defaultColWidth="9.140625" defaultRowHeight="15"/>
  <cols>
    <col min="1" max="1" width="7.85546875" customWidth="1"/>
    <col min="2" max="2" width="9" customWidth="1"/>
    <col min="3" max="3" width="14.42578125" customWidth="1"/>
    <col min="4" max="4" width="15" customWidth="1"/>
    <col min="6" max="6" width="5.42578125" customWidth="1"/>
    <col min="13" max="13" width="9.5703125"/>
  </cols>
  <sheetData>
    <row r="1" spans="1:13" ht="15.75">
      <c r="A1" s="585" t="s">
        <v>132</v>
      </c>
      <c r="B1" s="585"/>
      <c r="C1" s="585"/>
      <c r="D1" s="585"/>
      <c r="F1" s="586" t="s">
        <v>133</v>
      </c>
      <c r="G1" s="586"/>
      <c r="H1" s="586"/>
      <c r="I1" s="586"/>
      <c r="J1" s="586"/>
      <c r="K1" s="586"/>
      <c r="L1" s="586"/>
      <c r="M1" s="586"/>
    </row>
    <row r="2" spans="1:13">
      <c r="A2" s="77" t="s">
        <v>134</v>
      </c>
      <c r="B2" s="77" t="s">
        <v>135</v>
      </c>
      <c r="C2" s="77" t="s">
        <v>136</v>
      </c>
      <c r="D2" s="77" t="s">
        <v>88</v>
      </c>
      <c r="F2" s="72"/>
      <c r="G2" s="587" t="s">
        <v>137</v>
      </c>
      <c r="H2" s="588"/>
      <c r="I2" s="588"/>
      <c r="J2" s="588"/>
      <c r="K2" s="82" t="s">
        <v>129</v>
      </c>
      <c r="L2" s="72"/>
      <c r="M2" s="72"/>
    </row>
    <row r="3" spans="1:13" ht="15.75">
      <c r="A3" s="78">
        <v>1</v>
      </c>
      <c r="B3" s="78" t="s">
        <v>138</v>
      </c>
      <c r="C3" s="78">
        <v>250</v>
      </c>
      <c r="D3" s="78">
        <v>1</v>
      </c>
      <c r="F3" s="72"/>
      <c r="G3" s="71" t="s">
        <v>139</v>
      </c>
      <c r="H3" s="71" t="s">
        <v>139</v>
      </c>
      <c r="I3" s="71" t="s">
        <v>139</v>
      </c>
      <c r="J3" s="71" t="s">
        <v>139</v>
      </c>
      <c r="K3" s="71" t="s">
        <v>139</v>
      </c>
      <c r="L3" s="71" t="s">
        <v>84</v>
      </c>
      <c r="M3" s="71" t="s">
        <v>131</v>
      </c>
    </row>
    <row r="4" spans="1:13" ht="15.75">
      <c r="A4" s="78">
        <v>2</v>
      </c>
      <c r="B4" s="78" t="s">
        <v>140</v>
      </c>
      <c r="C4" s="78">
        <v>250</v>
      </c>
      <c r="D4" s="78">
        <v>1</v>
      </c>
      <c r="F4" s="71">
        <v>1</v>
      </c>
      <c r="G4" s="71">
        <v>650</v>
      </c>
      <c r="H4" s="71">
        <v>300</v>
      </c>
      <c r="I4" s="71">
        <v>650</v>
      </c>
      <c r="J4" s="71">
        <v>300</v>
      </c>
      <c r="K4" s="71">
        <v>100</v>
      </c>
      <c r="L4" s="71">
        <v>2</v>
      </c>
      <c r="M4" s="71">
        <f t="shared" ref="M4:M8" si="0">((G4+H4+I4+J4)*L4)/1000</f>
        <v>3.8</v>
      </c>
    </row>
    <row r="5" spans="1:13" ht="15.75">
      <c r="A5" s="78">
        <v>3</v>
      </c>
      <c r="B5" s="78" t="s">
        <v>141</v>
      </c>
      <c r="C5" s="78">
        <v>250</v>
      </c>
      <c r="D5" s="78">
        <v>1</v>
      </c>
      <c r="F5" s="71">
        <v>2</v>
      </c>
      <c r="G5" s="71">
        <v>1000</v>
      </c>
      <c r="H5" s="71">
        <v>300</v>
      </c>
      <c r="I5" s="71">
        <v>1000</v>
      </c>
      <c r="J5" s="71">
        <v>300</v>
      </c>
      <c r="K5" s="71">
        <v>100</v>
      </c>
      <c r="L5" s="71">
        <v>3</v>
      </c>
      <c r="M5" s="71">
        <f t="shared" si="0"/>
        <v>7.8</v>
      </c>
    </row>
    <row r="6" spans="1:13" ht="15.75">
      <c r="A6" s="78">
        <v>4</v>
      </c>
      <c r="B6" s="78" t="s">
        <v>142</v>
      </c>
      <c r="C6" s="78">
        <v>200</v>
      </c>
      <c r="D6" s="78">
        <v>1</v>
      </c>
      <c r="F6" s="71">
        <v>3</v>
      </c>
      <c r="G6" s="71">
        <v>900</v>
      </c>
      <c r="H6" s="71">
        <v>300</v>
      </c>
      <c r="I6" s="71">
        <v>900</v>
      </c>
      <c r="J6" s="71">
        <v>300</v>
      </c>
      <c r="K6" s="71">
        <v>100</v>
      </c>
      <c r="L6" s="71">
        <v>1</v>
      </c>
      <c r="M6" s="71">
        <f t="shared" si="0"/>
        <v>2.4</v>
      </c>
    </row>
    <row r="7" spans="1:13" ht="15.75">
      <c r="A7" s="78">
        <v>5</v>
      </c>
      <c r="B7" s="78" t="s">
        <v>143</v>
      </c>
      <c r="C7" s="78">
        <v>250</v>
      </c>
      <c r="D7" s="78">
        <v>1</v>
      </c>
      <c r="F7" s="71">
        <v>4</v>
      </c>
      <c r="G7" s="71">
        <v>850</v>
      </c>
      <c r="H7" s="71">
        <v>300</v>
      </c>
      <c r="I7" s="71">
        <v>850</v>
      </c>
      <c r="J7" s="71">
        <v>300</v>
      </c>
      <c r="K7" s="71">
        <v>100</v>
      </c>
      <c r="L7" s="71">
        <v>1</v>
      </c>
      <c r="M7" s="71">
        <f t="shared" si="0"/>
        <v>2.2999999999999998</v>
      </c>
    </row>
    <row r="8" spans="1:13" ht="15.75">
      <c r="A8" s="78">
        <v>6</v>
      </c>
      <c r="B8" s="78" t="s">
        <v>144</v>
      </c>
      <c r="C8" s="78">
        <v>150</v>
      </c>
      <c r="D8" s="78">
        <v>1</v>
      </c>
      <c r="F8" s="71">
        <v>5</v>
      </c>
      <c r="G8" s="71">
        <v>700</v>
      </c>
      <c r="H8" s="71">
        <v>300</v>
      </c>
      <c r="I8" s="71">
        <v>700</v>
      </c>
      <c r="J8" s="71">
        <v>300</v>
      </c>
      <c r="K8" s="71">
        <v>100</v>
      </c>
      <c r="L8" s="71">
        <v>1</v>
      </c>
      <c r="M8" s="71">
        <f t="shared" si="0"/>
        <v>2</v>
      </c>
    </row>
    <row r="9" spans="1:13" ht="15.75">
      <c r="A9" s="78">
        <v>7</v>
      </c>
      <c r="B9" s="78" t="s">
        <v>145</v>
      </c>
      <c r="C9" s="78">
        <v>200</v>
      </c>
      <c r="D9" s="78">
        <v>1</v>
      </c>
      <c r="F9" s="72"/>
      <c r="G9" s="72"/>
      <c r="H9" s="72"/>
      <c r="I9" s="72"/>
      <c r="J9" s="72"/>
      <c r="K9" s="72"/>
      <c r="L9" s="72"/>
      <c r="M9" s="72"/>
    </row>
    <row r="10" spans="1:13" ht="15.75">
      <c r="A10" s="78">
        <v>8</v>
      </c>
      <c r="B10" s="78" t="s">
        <v>146</v>
      </c>
      <c r="C10" s="78">
        <v>200</v>
      </c>
      <c r="D10" s="78">
        <v>1</v>
      </c>
      <c r="F10" s="589" t="s">
        <v>147</v>
      </c>
      <c r="G10" s="590"/>
      <c r="H10" s="590"/>
      <c r="I10" s="590"/>
      <c r="J10" s="590"/>
      <c r="K10" s="590"/>
      <c r="L10" s="591"/>
      <c r="M10" s="83">
        <f>SUM(M4:M9)</f>
        <v>18.3</v>
      </c>
    </row>
    <row r="11" spans="1:13" ht="15.75">
      <c r="A11" s="78"/>
      <c r="B11" s="78"/>
      <c r="C11" s="79"/>
      <c r="D11" s="79"/>
      <c r="M11">
        <f>M10*1.2</f>
        <v>21.96</v>
      </c>
    </row>
    <row r="12" spans="1:13" ht="15.75">
      <c r="A12" s="78"/>
      <c r="B12" s="78"/>
      <c r="C12" s="79"/>
      <c r="D12" s="80"/>
    </row>
    <row r="13" spans="1:13">
      <c r="A13" s="592" t="s">
        <v>147</v>
      </c>
      <c r="B13" s="593"/>
      <c r="C13" s="594"/>
      <c r="D13" s="81">
        <f>SUM(D3:D12)</f>
        <v>8</v>
      </c>
    </row>
  </sheetData>
  <mergeCells count="5">
    <mergeCell ref="A1:D1"/>
    <mergeCell ref="F1:M1"/>
    <mergeCell ref="G2:J2"/>
    <mergeCell ref="F10:L10"/>
    <mergeCell ref="A13:C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E25"/>
  <sheetViews>
    <sheetView workbookViewId="0">
      <selection activeCell="I23" sqref="I23"/>
    </sheetView>
  </sheetViews>
  <sheetFormatPr defaultColWidth="9.140625" defaultRowHeight="15"/>
  <cols>
    <col min="1" max="1" width="6" customWidth="1"/>
    <col min="2" max="2" width="5.140625" customWidth="1"/>
    <col min="3" max="3" width="8.42578125" customWidth="1"/>
    <col min="4" max="5" width="15" customWidth="1"/>
  </cols>
  <sheetData>
    <row r="3" spans="2:5">
      <c r="B3" s="595" t="s">
        <v>148</v>
      </c>
      <c r="C3" s="596"/>
      <c r="D3" s="596"/>
      <c r="E3" s="597"/>
    </row>
    <row r="4" spans="2:5">
      <c r="B4" s="71" t="s">
        <v>128</v>
      </c>
      <c r="C4" s="71" t="s">
        <v>137</v>
      </c>
      <c r="D4" s="71" t="s">
        <v>129</v>
      </c>
      <c r="E4" s="71" t="s">
        <v>149</v>
      </c>
    </row>
    <row r="5" spans="2:5">
      <c r="B5" s="72"/>
      <c r="C5" s="71" t="s">
        <v>139</v>
      </c>
      <c r="D5" s="73" t="s">
        <v>150</v>
      </c>
      <c r="E5" s="71" t="s">
        <v>150</v>
      </c>
    </row>
    <row r="6" spans="2:5">
      <c r="B6" s="598">
        <v>1</v>
      </c>
      <c r="C6" s="598">
        <v>25</v>
      </c>
      <c r="D6" s="71">
        <v>7.8</v>
      </c>
      <c r="E6" s="601">
        <f>SUM(D6:D21)</f>
        <v>129.29999999999998</v>
      </c>
    </row>
    <row r="7" spans="2:5">
      <c r="B7" s="599"/>
      <c r="C7" s="599"/>
      <c r="D7" s="71">
        <v>5.8</v>
      </c>
      <c r="E7" s="602"/>
    </row>
    <row r="8" spans="2:5">
      <c r="B8" s="599"/>
      <c r="C8" s="599"/>
      <c r="D8" s="71">
        <v>6.5</v>
      </c>
      <c r="E8" s="602"/>
    </row>
    <row r="9" spans="2:5">
      <c r="B9" s="599"/>
      <c r="C9" s="599"/>
      <c r="D9" s="71">
        <v>7.1</v>
      </c>
      <c r="E9" s="602"/>
    </row>
    <row r="10" spans="2:5">
      <c r="B10" s="599"/>
      <c r="C10" s="599"/>
      <c r="D10" s="71">
        <v>6.6</v>
      </c>
      <c r="E10" s="602"/>
    </row>
    <row r="11" spans="2:5">
      <c r="B11" s="599"/>
      <c r="C11" s="599"/>
      <c r="D11" s="74">
        <v>8</v>
      </c>
      <c r="E11" s="602"/>
    </row>
    <row r="12" spans="2:5">
      <c r="B12" s="599"/>
      <c r="C12" s="599"/>
      <c r="D12" s="71">
        <v>10.199999999999999</v>
      </c>
      <c r="E12" s="602"/>
    </row>
    <row r="13" spans="2:5">
      <c r="B13" s="599"/>
      <c r="C13" s="599"/>
      <c r="D13" s="71">
        <v>12.5</v>
      </c>
      <c r="E13" s="602"/>
    </row>
    <row r="14" spans="2:5">
      <c r="B14" s="599"/>
      <c r="C14" s="599"/>
      <c r="D14" s="71">
        <v>13</v>
      </c>
      <c r="E14" s="602"/>
    </row>
    <row r="15" spans="2:5">
      <c r="B15" s="599"/>
      <c r="C15" s="599"/>
      <c r="D15" s="71">
        <v>10</v>
      </c>
      <c r="E15" s="602"/>
    </row>
    <row r="16" spans="2:5">
      <c r="B16" s="599"/>
      <c r="C16" s="599"/>
      <c r="D16" s="71">
        <v>11.6</v>
      </c>
      <c r="E16" s="602"/>
    </row>
    <row r="17" spans="2:5">
      <c r="B17" s="599"/>
      <c r="C17" s="599"/>
      <c r="D17" s="71">
        <v>4.5999999999999996</v>
      </c>
      <c r="E17" s="602"/>
    </row>
    <row r="18" spans="2:5">
      <c r="B18" s="599"/>
      <c r="C18" s="599"/>
      <c r="D18" s="71">
        <v>3</v>
      </c>
      <c r="E18" s="602"/>
    </row>
    <row r="19" spans="2:5">
      <c r="B19" s="599"/>
      <c r="C19" s="599"/>
      <c r="D19" s="71">
        <v>3.6</v>
      </c>
      <c r="E19" s="602"/>
    </row>
    <row r="20" spans="2:5">
      <c r="B20" s="599"/>
      <c r="C20" s="599"/>
      <c r="D20" s="71">
        <v>4</v>
      </c>
      <c r="E20" s="602"/>
    </row>
    <row r="21" spans="2:5">
      <c r="B21" s="600"/>
      <c r="C21" s="600"/>
      <c r="D21" s="71">
        <v>15</v>
      </c>
      <c r="E21" s="603"/>
    </row>
    <row r="22" spans="2:5">
      <c r="B22" s="75">
        <v>2</v>
      </c>
      <c r="C22" s="71">
        <v>32</v>
      </c>
      <c r="D22" s="71">
        <v>27.8</v>
      </c>
      <c r="E22" s="76">
        <f>D22</f>
        <v>27.8</v>
      </c>
    </row>
    <row r="23" spans="2:5">
      <c r="B23" s="598">
        <v>3</v>
      </c>
      <c r="C23" s="598">
        <v>40</v>
      </c>
      <c r="D23" s="71">
        <v>9.5</v>
      </c>
      <c r="E23" s="604">
        <f>D23+D24</f>
        <v>19</v>
      </c>
    </row>
    <row r="24" spans="2:5">
      <c r="B24" s="600"/>
      <c r="C24" s="600"/>
      <c r="D24" s="71">
        <v>9.5</v>
      </c>
      <c r="E24" s="605"/>
    </row>
    <row r="25" spans="2:5">
      <c r="B25" s="72"/>
      <c r="C25" s="72"/>
      <c r="D25" s="72"/>
      <c r="E25" s="72"/>
    </row>
  </sheetData>
  <mergeCells count="7">
    <mergeCell ref="B3:E3"/>
    <mergeCell ref="B6:B21"/>
    <mergeCell ref="B23:B24"/>
    <mergeCell ref="C6:C21"/>
    <mergeCell ref="C23:C24"/>
    <mergeCell ref="E6:E21"/>
    <mergeCell ref="E23:E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165"/>
  <sheetViews>
    <sheetView workbookViewId="0">
      <selection activeCell="C11" sqref="C11"/>
    </sheetView>
  </sheetViews>
  <sheetFormatPr defaultColWidth="9.140625" defaultRowHeight="15"/>
  <cols>
    <col min="1" max="1" width="9.140625" style="3"/>
    <col min="2" max="2" width="8.5703125" style="4" customWidth="1"/>
    <col min="3" max="3" width="64.140625" style="3" customWidth="1"/>
    <col min="4" max="5" width="9.140625" style="4"/>
    <col min="6" max="6" width="11.7109375" style="4" customWidth="1"/>
    <col min="7" max="7" width="15.42578125" style="4" customWidth="1"/>
    <col min="8" max="16384" width="9.140625" style="3"/>
  </cols>
  <sheetData>
    <row r="1" spans="2:7">
      <c r="B1" s="606" t="s">
        <v>151</v>
      </c>
      <c r="C1" s="607"/>
      <c r="D1" s="5"/>
      <c r="E1" s="5"/>
      <c r="F1" s="5"/>
      <c r="G1" s="6"/>
    </row>
    <row r="2" spans="2:7">
      <c r="B2" s="608" t="s">
        <v>152</v>
      </c>
      <c r="C2" s="609"/>
      <c r="D2" s="7"/>
      <c r="E2" s="7"/>
      <c r="F2" s="7"/>
      <c r="G2" s="8"/>
    </row>
    <row r="3" spans="2:7">
      <c r="B3" s="9" t="s">
        <v>153</v>
      </c>
      <c r="C3" s="10"/>
      <c r="D3" s="7"/>
      <c r="E3" s="7"/>
      <c r="F3" s="7"/>
      <c r="G3" s="8"/>
    </row>
    <row r="4" spans="2:7">
      <c r="B4" s="11" t="s">
        <v>154</v>
      </c>
      <c r="C4" s="10"/>
      <c r="D4" s="7"/>
      <c r="E4" s="7"/>
      <c r="F4" s="7"/>
      <c r="G4" s="8"/>
    </row>
    <row r="5" spans="2:7">
      <c r="B5" s="12"/>
      <c r="C5" s="13"/>
      <c r="D5" s="14"/>
      <c r="E5" s="14"/>
      <c r="F5" s="14"/>
      <c r="G5" s="15"/>
    </row>
    <row r="6" spans="2:7">
      <c r="B6" s="610" t="s">
        <v>155</v>
      </c>
      <c r="C6" s="611"/>
      <c r="D6" s="611"/>
      <c r="E6" s="611"/>
      <c r="F6" s="611"/>
      <c r="G6" s="612"/>
    </row>
    <row r="7" spans="2:7">
      <c r="B7" s="613" t="s">
        <v>156</v>
      </c>
      <c r="C7" s="614"/>
      <c r="D7" s="614"/>
      <c r="E7" s="614"/>
      <c r="F7" s="614"/>
      <c r="G7" s="615"/>
    </row>
    <row r="8" spans="2:7">
      <c r="B8" s="16" t="s">
        <v>157</v>
      </c>
      <c r="C8" s="17" t="s">
        <v>158</v>
      </c>
      <c r="D8" s="18" t="s">
        <v>159</v>
      </c>
      <c r="E8" s="18" t="s">
        <v>5</v>
      </c>
      <c r="F8" s="18" t="s">
        <v>160</v>
      </c>
      <c r="G8" s="19" t="s">
        <v>161</v>
      </c>
    </row>
    <row r="9" spans="2:7">
      <c r="B9" s="20">
        <v>1</v>
      </c>
      <c r="C9" s="21" t="s">
        <v>162</v>
      </c>
      <c r="D9" s="22"/>
      <c r="E9" s="23"/>
      <c r="F9" s="23"/>
      <c r="G9" s="24"/>
    </row>
    <row r="10" spans="2:7" ht="30">
      <c r="B10" s="25"/>
      <c r="C10" s="26" t="s">
        <v>163</v>
      </c>
      <c r="D10" s="27"/>
      <c r="E10" s="28"/>
      <c r="F10" s="28"/>
      <c r="G10" s="29"/>
    </row>
    <row r="11" spans="2:7" ht="45">
      <c r="B11" s="30"/>
      <c r="C11" s="31" t="s">
        <v>164</v>
      </c>
      <c r="D11" s="32"/>
      <c r="E11" s="33"/>
      <c r="F11" s="33"/>
      <c r="G11" s="34"/>
    </row>
    <row r="12" spans="2:7" ht="30">
      <c r="B12" s="35">
        <v>1.1000000000000001</v>
      </c>
      <c r="C12" s="36" t="s">
        <v>165</v>
      </c>
      <c r="D12" s="32" t="s">
        <v>166</v>
      </c>
      <c r="E12" s="33">
        <v>1</v>
      </c>
      <c r="F12" s="37">
        <v>330561</v>
      </c>
      <c r="G12" s="34">
        <f>F12*E12</f>
        <v>330561</v>
      </c>
    </row>
    <row r="13" spans="2:7">
      <c r="B13" s="30"/>
      <c r="C13" s="38"/>
      <c r="D13" s="32"/>
      <c r="E13" s="33"/>
      <c r="F13" s="33"/>
      <c r="G13" s="34"/>
    </row>
    <row r="14" spans="2:7">
      <c r="B14" s="30"/>
      <c r="C14" s="39"/>
      <c r="D14" s="32"/>
      <c r="E14" s="33"/>
      <c r="F14" s="33"/>
      <c r="G14" s="34"/>
    </row>
    <row r="15" spans="2:7">
      <c r="B15" s="35">
        <v>1.4</v>
      </c>
      <c r="C15" s="38" t="s">
        <v>167</v>
      </c>
      <c r="D15" s="32"/>
      <c r="E15" s="33"/>
      <c r="F15" s="33"/>
      <c r="G15" s="34"/>
    </row>
    <row r="16" spans="2:7" ht="45">
      <c r="B16" s="30"/>
      <c r="C16" s="39" t="s">
        <v>168</v>
      </c>
      <c r="D16" s="32" t="s">
        <v>169</v>
      </c>
      <c r="E16" s="33">
        <v>150</v>
      </c>
      <c r="F16" s="33">
        <v>13.9206582085771</v>
      </c>
      <c r="G16" s="34">
        <f>E16*F16</f>
        <v>2088.098731286565</v>
      </c>
    </row>
    <row r="17" spans="2:7">
      <c r="B17" s="30"/>
      <c r="C17" s="39"/>
      <c r="D17" s="32"/>
      <c r="E17" s="33"/>
      <c r="F17" s="33"/>
      <c r="G17" s="34"/>
    </row>
    <row r="18" spans="2:7" ht="45">
      <c r="B18" s="30">
        <v>2</v>
      </c>
      <c r="C18" s="39" t="s">
        <v>170</v>
      </c>
      <c r="D18" s="32"/>
      <c r="E18" s="33"/>
      <c r="F18" s="33"/>
      <c r="G18" s="34"/>
    </row>
    <row r="19" spans="2:7">
      <c r="B19" s="30"/>
      <c r="C19" s="38"/>
      <c r="D19" s="32"/>
      <c r="E19" s="33"/>
      <c r="F19" s="33"/>
      <c r="G19" s="34"/>
    </row>
    <row r="20" spans="2:7" s="1" customFormat="1">
      <c r="B20" s="30" t="s">
        <v>171</v>
      </c>
      <c r="C20" s="38" t="s">
        <v>172</v>
      </c>
      <c r="D20" s="32"/>
      <c r="E20" s="33"/>
      <c r="F20" s="33"/>
      <c r="G20" s="34"/>
    </row>
    <row r="21" spans="2:7" s="1" customFormat="1">
      <c r="B21" s="30"/>
      <c r="C21" s="36" t="s">
        <v>173</v>
      </c>
      <c r="D21" s="32" t="s">
        <v>84</v>
      </c>
      <c r="E21" s="33">
        <v>1</v>
      </c>
      <c r="F21" s="33">
        <v>18125.942457325498</v>
      </c>
      <c r="G21" s="34">
        <f>E21*F21</f>
        <v>18125.942457325498</v>
      </c>
    </row>
    <row r="22" spans="2:7">
      <c r="B22" s="30"/>
      <c r="C22" s="36" t="s">
        <v>174</v>
      </c>
      <c r="D22" s="32"/>
      <c r="E22" s="33"/>
      <c r="F22" s="33"/>
      <c r="G22" s="34"/>
    </row>
    <row r="23" spans="2:7">
      <c r="B23" s="30" t="s">
        <v>175</v>
      </c>
      <c r="C23" s="38" t="s">
        <v>176</v>
      </c>
      <c r="D23" s="32"/>
      <c r="E23" s="33"/>
      <c r="F23" s="33"/>
      <c r="G23" s="34"/>
    </row>
    <row r="24" spans="2:7" s="1" customFormat="1">
      <c r="B24" s="30"/>
      <c r="C24" s="36" t="s">
        <v>173</v>
      </c>
      <c r="D24" s="32" t="s">
        <v>84</v>
      </c>
      <c r="E24" s="33">
        <v>1</v>
      </c>
      <c r="F24" s="33">
        <v>18356.113155196301</v>
      </c>
      <c r="G24" s="34">
        <f>E24*F24</f>
        <v>18356.113155196301</v>
      </c>
    </row>
    <row r="25" spans="2:7" s="1" customFormat="1">
      <c r="B25" s="30"/>
      <c r="C25" s="36" t="s">
        <v>177</v>
      </c>
      <c r="D25" s="32"/>
      <c r="E25" s="33"/>
      <c r="F25" s="33"/>
      <c r="G25" s="34"/>
    </row>
    <row r="26" spans="2:7">
      <c r="B26" s="30"/>
      <c r="C26" s="36"/>
      <c r="D26" s="32"/>
      <c r="E26" s="33"/>
      <c r="F26" s="33"/>
      <c r="G26" s="34"/>
    </row>
    <row r="27" spans="2:7" ht="45">
      <c r="B27" s="30">
        <v>2.1</v>
      </c>
      <c r="C27" s="39" t="s">
        <v>178</v>
      </c>
      <c r="D27" s="32"/>
      <c r="E27" s="33"/>
      <c r="F27" s="33"/>
      <c r="G27" s="34"/>
    </row>
    <row r="28" spans="2:7">
      <c r="B28" s="30"/>
      <c r="C28" s="36"/>
      <c r="D28" s="32"/>
      <c r="E28" s="33"/>
      <c r="F28" s="33"/>
      <c r="G28" s="34"/>
    </row>
    <row r="29" spans="2:7">
      <c r="B29" s="30" t="s">
        <v>179</v>
      </c>
      <c r="C29" s="38" t="s">
        <v>180</v>
      </c>
      <c r="D29" s="32"/>
      <c r="E29" s="33"/>
      <c r="F29" s="33"/>
      <c r="G29" s="34"/>
    </row>
    <row r="30" spans="2:7">
      <c r="B30" s="30"/>
      <c r="C30" s="36" t="s">
        <v>181</v>
      </c>
      <c r="D30" s="32" t="s">
        <v>84</v>
      </c>
      <c r="E30" s="33">
        <v>1</v>
      </c>
      <c r="F30" s="33">
        <v>17320.3450147777</v>
      </c>
      <c r="G30" s="34">
        <f>E30*F30</f>
        <v>17320.3450147777</v>
      </c>
    </row>
    <row r="31" spans="2:7">
      <c r="B31" s="30"/>
      <c r="C31" s="36" t="s">
        <v>182</v>
      </c>
      <c r="D31" s="32"/>
      <c r="E31" s="33"/>
      <c r="F31" s="33"/>
      <c r="G31" s="34"/>
    </row>
    <row r="32" spans="2:7">
      <c r="B32" s="30"/>
      <c r="C32" s="36"/>
      <c r="D32" s="32"/>
      <c r="E32" s="33"/>
      <c r="F32" s="33"/>
      <c r="G32" s="34"/>
    </row>
    <row r="33" spans="2:7">
      <c r="B33" s="30" t="s">
        <v>183</v>
      </c>
      <c r="C33" s="38" t="s">
        <v>184</v>
      </c>
      <c r="D33" s="32"/>
      <c r="E33" s="33"/>
      <c r="F33" s="33"/>
      <c r="G33" s="34"/>
    </row>
    <row r="34" spans="2:7">
      <c r="B34" s="30"/>
      <c r="C34" s="36" t="s">
        <v>185</v>
      </c>
      <c r="D34" s="32" t="s">
        <v>84</v>
      </c>
      <c r="E34" s="33">
        <v>1</v>
      </c>
      <c r="F34" s="33">
        <v>13522.5284999095</v>
      </c>
      <c r="G34" s="34">
        <f>E34*F34</f>
        <v>13522.5284999095</v>
      </c>
    </row>
    <row r="35" spans="2:7">
      <c r="B35" s="30"/>
      <c r="C35" s="36" t="s">
        <v>186</v>
      </c>
      <c r="D35" s="32"/>
      <c r="E35" s="33"/>
      <c r="F35" s="33"/>
      <c r="G35" s="34"/>
    </row>
    <row r="36" spans="2:7">
      <c r="B36" s="30"/>
      <c r="C36" s="36"/>
      <c r="D36" s="32"/>
      <c r="E36" s="33"/>
      <c r="F36" s="33"/>
      <c r="G36" s="34"/>
    </row>
    <row r="37" spans="2:7">
      <c r="B37" s="30" t="s">
        <v>187</v>
      </c>
      <c r="C37" s="38" t="s">
        <v>188</v>
      </c>
      <c r="D37" s="32"/>
      <c r="E37" s="33"/>
      <c r="F37" s="33"/>
      <c r="G37" s="34"/>
    </row>
    <row r="38" spans="2:7">
      <c r="B38" s="30"/>
      <c r="C38" s="36" t="s">
        <v>181</v>
      </c>
      <c r="D38" s="32" t="s">
        <v>84</v>
      </c>
      <c r="E38" s="33">
        <v>1</v>
      </c>
      <c r="F38" s="33">
        <v>7423.0050063333101</v>
      </c>
      <c r="G38" s="34">
        <f>E38*F38</f>
        <v>7423.0050063333101</v>
      </c>
    </row>
    <row r="39" spans="2:7">
      <c r="B39" s="30"/>
      <c r="C39" s="36" t="s">
        <v>189</v>
      </c>
      <c r="D39" s="32"/>
      <c r="E39" s="33"/>
      <c r="F39" s="33"/>
      <c r="G39" s="34"/>
    </row>
    <row r="40" spans="2:7">
      <c r="B40" s="30"/>
      <c r="C40" s="36"/>
      <c r="D40" s="32"/>
      <c r="E40" s="33"/>
      <c r="F40" s="33"/>
      <c r="G40" s="34"/>
    </row>
    <row r="41" spans="2:7">
      <c r="B41" s="30" t="s">
        <v>190</v>
      </c>
      <c r="C41" s="38" t="s">
        <v>191</v>
      </c>
      <c r="D41" s="32"/>
      <c r="E41" s="33"/>
      <c r="F41" s="33"/>
      <c r="G41" s="34"/>
    </row>
    <row r="42" spans="2:7">
      <c r="B42" s="30"/>
      <c r="C42" s="36" t="s">
        <v>192</v>
      </c>
      <c r="D42" s="32" t="s">
        <v>84</v>
      </c>
      <c r="E42" s="33">
        <v>2</v>
      </c>
      <c r="F42" s="33">
        <v>7423.0050063333101</v>
      </c>
      <c r="G42" s="34">
        <f>E42*F42</f>
        <v>14846.01001266662</v>
      </c>
    </row>
    <row r="43" spans="2:7">
      <c r="B43" s="30"/>
      <c r="C43" s="36" t="s">
        <v>193</v>
      </c>
      <c r="D43" s="32"/>
      <c r="E43" s="33"/>
      <c r="F43" s="33"/>
      <c r="G43" s="34"/>
    </row>
    <row r="44" spans="2:7">
      <c r="B44" s="30"/>
      <c r="C44" s="36"/>
      <c r="D44" s="32"/>
      <c r="E44" s="33"/>
      <c r="F44" s="33"/>
      <c r="G44" s="34"/>
    </row>
    <row r="45" spans="2:7" ht="30">
      <c r="B45" s="30" t="s">
        <v>194</v>
      </c>
      <c r="C45" s="40" t="s">
        <v>195</v>
      </c>
      <c r="D45" s="32"/>
      <c r="E45" s="33"/>
      <c r="F45" s="33"/>
      <c r="G45" s="34"/>
    </row>
    <row r="46" spans="2:7">
      <c r="B46" s="30"/>
      <c r="C46" s="36" t="s">
        <v>181</v>
      </c>
      <c r="D46" s="32" t="s">
        <v>84</v>
      </c>
      <c r="E46" s="33">
        <v>1</v>
      </c>
      <c r="F46" s="33">
        <v>4948.6700042222101</v>
      </c>
      <c r="G46" s="34">
        <f>E46*F46</f>
        <v>4948.6700042222101</v>
      </c>
    </row>
    <row r="47" spans="2:7">
      <c r="B47" s="30"/>
      <c r="C47" s="36" t="s">
        <v>186</v>
      </c>
      <c r="D47" s="32"/>
      <c r="E47" s="33"/>
      <c r="F47" s="33"/>
      <c r="G47" s="34"/>
    </row>
    <row r="48" spans="2:7">
      <c r="B48" s="30"/>
      <c r="C48" s="39"/>
      <c r="D48" s="32"/>
      <c r="E48" s="33"/>
      <c r="F48" s="33"/>
      <c r="G48" s="34"/>
    </row>
    <row r="49" spans="2:7" ht="30">
      <c r="B49" s="30">
        <v>2.2000000000000002</v>
      </c>
      <c r="C49" s="38" t="s">
        <v>196</v>
      </c>
      <c r="D49" s="32"/>
      <c r="E49" s="33"/>
      <c r="F49" s="33"/>
      <c r="G49" s="34"/>
    </row>
    <row r="50" spans="2:7">
      <c r="B50" s="30"/>
      <c r="C50" s="36"/>
      <c r="D50" s="32"/>
      <c r="E50" s="33"/>
      <c r="F50" s="33"/>
      <c r="G50" s="34"/>
    </row>
    <row r="51" spans="2:7">
      <c r="B51" s="30" t="s">
        <v>171</v>
      </c>
      <c r="C51" s="31" t="s">
        <v>197</v>
      </c>
      <c r="D51" s="32" t="s">
        <v>84</v>
      </c>
      <c r="E51" s="33">
        <v>1</v>
      </c>
      <c r="F51" s="33">
        <v>591.40368000000001</v>
      </c>
      <c r="G51" s="34">
        <f>E51*F51</f>
        <v>591.40368000000001</v>
      </c>
    </row>
    <row r="52" spans="2:7">
      <c r="B52" s="30"/>
      <c r="C52" s="36" t="s">
        <v>177</v>
      </c>
      <c r="D52" s="32"/>
      <c r="E52" s="33"/>
      <c r="F52" s="33"/>
      <c r="G52" s="34"/>
    </row>
    <row r="53" spans="2:7">
      <c r="B53" s="30" t="s">
        <v>175</v>
      </c>
      <c r="C53" s="31" t="s">
        <v>198</v>
      </c>
      <c r="D53" s="32" t="s">
        <v>84</v>
      </c>
      <c r="E53" s="33">
        <v>1</v>
      </c>
      <c r="F53" s="33">
        <v>1278.3599999999999</v>
      </c>
      <c r="G53" s="34">
        <f>E53*F53</f>
        <v>1278.3599999999999</v>
      </c>
    </row>
    <row r="54" spans="2:7" s="2" customFormat="1" ht="15.75">
      <c r="B54" s="30"/>
      <c r="C54" s="36" t="s">
        <v>177</v>
      </c>
      <c r="D54" s="32"/>
      <c r="E54" s="33"/>
      <c r="F54" s="33"/>
      <c r="G54" s="34"/>
    </row>
    <row r="55" spans="2:7">
      <c r="B55" s="30"/>
      <c r="C55" s="36"/>
      <c r="D55" s="32"/>
      <c r="E55" s="33"/>
      <c r="F55" s="33"/>
      <c r="G55" s="34"/>
    </row>
    <row r="56" spans="2:7" ht="60">
      <c r="B56" s="30">
        <v>2.2999999999999998</v>
      </c>
      <c r="C56" s="36" t="s">
        <v>199</v>
      </c>
      <c r="D56" s="32"/>
      <c r="E56" s="33"/>
      <c r="F56" s="33"/>
      <c r="G56" s="34"/>
    </row>
    <row r="57" spans="2:7">
      <c r="B57" s="30"/>
      <c r="C57" s="41" t="s">
        <v>200</v>
      </c>
      <c r="D57" s="32" t="s">
        <v>201</v>
      </c>
      <c r="E57" s="33">
        <f>40*10+20*5</f>
        <v>500</v>
      </c>
      <c r="F57" s="33">
        <v>67.276268739972195</v>
      </c>
      <c r="G57" s="34">
        <f t="shared" ref="G57" si="0">E57*F57</f>
        <v>33638.134369986095</v>
      </c>
    </row>
    <row r="58" spans="2:7">
      <c r="B58" s="30"/>
      <c r="C58" s="41" t="s">
        <v>202</v>
      </c>
      <c r="D58" s="32" t="s">
        <v>201</v>
      </c>
      <c r="E58" s="33" t="s">
        <v>203</v>
      </c>
      <c r="F58" s="33">
        <v>83.692965896616201</v>
      </c>
      <c r="G58" s="34"/>
    </row>
    <row r="59" spans="2:7">
      <c r="B59" s="30"/>
      <c r="C59" s="41"/>
      <c r="D59" s="32"/>
      <c r="E59" s="33"/>
      <c r="F59" s="33"/>
      <c r="G59" s="34"/>
    </row>
    <row r="60" spans="2:7" ht="60">
      <c r="B60" s="30">
        <v>2.4</v>
      </c>
      <c r="C60" s="36" t="s">
        <v>204</v>
      </c>
      <c r="D60" s="32"/>
      <c r="E60" s="33"/>
      <c r="F60" s="33"/>
      <c r="G60" s="34"/>
    </row>
    <row r="61" spans="2:7">
      <c r="B61" s="30"/>
      <c r="C61" s="41" t="s">
        <v>200</v>
      </c>
      <c r="D61" s="32" t="s">
        <v>201</v>
      </c>
      <c r="E61" s="33">
        <v>250</v>
      </c>
      <c r="F61" s="33">
        <v>67.276268739972195</v>
      </c>
      <c r="G61" s="34">
        <f>E61*F61</f>
        <v>16819.067184993048</v>
      </c>
    </row>
    <row r="62" spans="2:7">
      <c r="B62" s="30"/>
      <c r="C62" s="41" t="s">
        <v>202</v>
      </c>
      <c r="D62" s="32" t="s">
        <v>201</v>
      </c>
      <c r="E62" s="33" t="s">
        <v>203</v>
      </c>
      <c r="F62" s="33">
        <v>83.692965896616201</v>
      </c>
      <c r="G62" s="34"/>
    </row>
    <row r="63" spans="2:7">
      <c r="B63" s="30"/>
      <c r="C63" s="42"/>
      <c r="D63" s="32"/>
      <c r="E63" s="33"/>
      <c r="F63" s="33"/>
      <c r="G63" s="34"/>
    </row>
    <row r="64" spans="2:7">
      <c r="B64" s="30">
        <v>2.5</v>
      </c>
      <c r="C64" s="38" t="s">
        <v>205</v>
      </c>
      <c r="D64" s="32"/>
      <c r="E64" s="33"/>
      <c r="F64" s="33"/>
      <c r="G64" s="34"/>
    </row>
    <row r="65" spans="2:7" ht="30">
      <c r="B65" s="30"/>
      <c r="C65" s="39" t="s">
        <v>206</v>
      </c>
      <c r="D65" s="32" t="s">
        <v>169</v>
      </c>
      <c r="E65" s="33">
        <v>440</v>
      </c>
      <c r="F65" s="33">
        <v>114</v>
      </c>
      <c r="G65" s="34">
        <f t="shared" ref="G65" si="1">E65*F65</f>
        <v>50160</v>
      </c>
    </row>
    <row r="66" spans="2:7" ht="30">
      <c r="B66" s="30"/>
      <c r="C66" s="39" t="s">
        <v>207</v>
      </c>
      <c r="D66" s="32"/>
      <c r="E66" s="33"/>
      <c r="F66" s="33"/>
      <c r="G66" s="34"/>
    </row>
    <row r="67" spans="2:7">
      <c r="B67" s="30"/>
      <c r="C67" s="42"/>
      <c r="D67" s="32"/>
      <c r="E67" s="33"/>
      <c r="F67" s="33"/>
      <c r="G67" s="34"/>
    </row>
    <row r="68" spans="2:7">
      <c r="B68" s="30"/>
      <c r="C68" s="42"/>
      <c r="D68" s="32"/>
      <c r="E68" s="33"/>
      <c r="F68" s="33"/>
      <c r="G68" s="34"/>
    </row>
    <row r="69" spans="2:7">
      <c r="B69" s="30">
        <v>3</v>
      </c>
      <c r="C69" s="43" t="s">
        <v>208</v>
      </c>
      <c r="D69" s="44"/>
      <c r="E69" s="33"/>
      <c r="F69" s="33"/>
      <c r="G69" s="34"/>
    </row>
    <row r="70" spans="2:7">
      <c r="B70" s="35"/>
      <c r="C70" s="36"/>
      <c r="D70" s="32"/>
      <c r="E70" s="33"/>
      <c r="F70" s="33"/>
      <c r="G70" s="34"/>
    </row>
    <row r="71" spans="2:7" ht="60">
      <c r="B71" s="30">
        <v>3.1</v>
      </c>
      <c r="C71" s="36" t="s">
        <v>209</v>
      </c>
      <c r="D71" s="32"/>
      <c r="E71" s="33"/>
      <c r="F71" s="33"/>
      <c r="G71" s="34"/>
    </row>
    <row r="72" spans="2:7">
      <c r="B72" s="35"/>
      <c r="C72" s="36"/>
      <c r="D72" s="32"/>
      <c r="E72" s="33"/>
      <c r="F72" s="33"/>
      <c r="G72" s="34"/>
    </row>
    <row r="73" spans="2:7">
      <c r="B73" s="35" t="s">
        <v>171</v>
      </c>
      <c r="C73" s="45" t="s">
        <v>210</v>
      </c>
      <c r="D73" s="32" t="s">
        <v>201</v>
      </c>
      <c r="E73" s="46">
        <v>600</v>
      </c>
      <c r="F73" s="33">
        <v>36</v>
      </c>
      <c r="G73" s="34">
        <f>E73*F73</f>
        <v>21600</v>
      </c>
    </row>
    <row r="74" spans="2:7">
      <c r="B74" s="35"/>
      <c r="C74" s="45"/>
      <c r="D74" s="32"/>
      <c r="E74" s="46"/>
      <c r="F74" s="33"/>
      <c r="G74" s="34"/>
    </row>
    <row r="75" spans="2:7">
      <c r="B75" s="35" t="s">
        <v>175</v>
      </c>
      <c r="C75" s="45" t="s">
        <v>211</v>
      </c>
      <c r="D75" s="32" t="s">
        <v>201</v>
      </c>
      <c r="E75" s="46">
        <v>20</v>
      </c>
      <c r="F75" s="33">
        <v>72</v>
      </c>
      <c r="G75" s="34">
        <f t="shared" ref="G75" si="2">E75*F75</f>
        <v>1440</v>
      </c>
    </row>
    <row r="76" spans="2:7">
      <c r="B76" s="30"/>
      <c r="C76" s="36"/>
      <c r="D76" s="32"/>
      <c r="E76" s="33"/>
      <c r="F76" s="33"/>
      <c r="G76" s="34"/>
    </row>
    <row r="77" spans="2:7">
      <c r="B77" s="30"/>
      <c r="C77" s="36"/>
      <c r="D77" s="32"/>
      <c r="E77" s="33"/>
      <c r="F77" s="33"/>
      <c r="G77" s="34"/>
    </row>
    <row r="78" spans="2:7" ht="30">
      <c r="B78" s="30">
        <v>3.2</v>
      </c>
      <c r="C78" s="36" t="s">
        <v>212</v>
      </c>
      <c r="D78" s="32" t="s">
        <v>201</v>
      </c>
      <c r="E78" s="33">
        <v>10</v>
      </c>
      <c r="F78" s="33">
        <v>440</v>
      </c>
      <c r="G78" s="34">
        <f t="shared" ref="G78" si="3">E78*F78</f>
        <v>4400</v>
      </c>
    </row>
    <row r="79" spans="2:7">
      <c r="B79" s="30"/>
      <c r="C79" s="36"/>
      <c r="D79" s="32"/>
      <c r="E79" s="33"/>
      <c r="F79" s="33"/>
      <c r="G79" s="34"/>
    </row>
    <row r="80" spans="2:7">
      <c r="B80" s="30"/>
      <c r="C80" s="36"/>
      <c r="D80" s="32"/>
      <c r="E80" s="33"/>
      <c r="F80" s="33"/>
      <c r="G80" s="34"/>
    </row>
    <row r="81" spans="2:7" ht="30">
      <c r="B81" s="30">
        <v>3.4</v>
      </c>
      <c r="C81" s="36" t="s">
        <v>213</v>
      </c>
      <c r="D81" s="32" t="s">
        <v>214</v>
      </c>
      <c r="E81" s="33">
        <v>1</v>
      </c>
      <c r="F81" s="37">
        <v>26998.2</v>
      </c>
      <c r="G81" s="34">
        <f t="shared" ref="G81" si="4">E81*F81</f>
        <v>26998.2</v>
      </c>
    </row>
    <row r="82" spans="2:7">
      <c r="B82" s="30"/>
      <c r="C82" s="36"/>
      <c r="D82" s="32"/>
      <c r="E82" s="33"/>
      <c r="F82" s="33"/>
      <c r="G82" s="34"/>
    </row>
    <row r="83" spans="2:7">
      <c r="B83" s="30"/>
      <c r="C83" s="36"/>
      <c r="D83" s="32"/>
      <c r="E83" s="33"/>
      <c r="F83" s="33"/>
      <c r="G83" s="34"/>
    </row>
    <row r="84" spans="2:7">
      <c r="B84" s="30">
        <v>3.5</v>
      </c>
      <c r="C84" s="36" t="s">
        <v>215</v>
      </c>
      <c r="D84" s="32" t="s">
        <v>201</v>
      </c>
      <c r="E84" s="33">
        <v>10</v>
      </c>
      <c r="F84" s="33">
        <v>774.45719999999994</v>
      </c>
      <c r="G84" s="34">
        <f t="shared" ref="G84" si="5">E84*F84</f>
        <v>7744.5719999999992</v>
      </c>
    </row>
    <row r="85" spans="2:7">
      <c r="B85" s="30"/>
      <c r="C85" s="36"/>
      <c r="D85" s="32"/>
      <c r="E85" s="33"/>
      <c r="F85" s="33"/>
      <c r="G85" s="34"/>
    </row>
    <row r="86" spans="2:7">
      <c r="B86" s="30">
        <v>3.6</v>
      </c>
      <c r="C86" s="36" t="s">
        <v>216</v>
      </c>
      <c r="D86" s="32" t="s">
        <v>201</v>
      </c>
      <c r="E86" s="33">
        <v>1</v>
      </c>
      <c r="F86" s="33">
        <v>309.78287999999998</v>
      </c>
      <c r="G86" s="34">
        <f t="shared" ref="G86:G92" si="6">E86*F86</f>
        <v>309.78287999999998</v>
      </c>
    </row>
    <row r="87" spans="2:7">
      <c r="B87" s="30"/>
      <c r="C87" s="36"/>
      <c r="D87" s="32"/>
      <c r="E87" s="33"/>
      <c r="F87" s="33"/>
      <c r="G87" s="34"/>
    </row>
    <row r="88" spans="2:7" ht="30">
      <c r="B88" s="30">
        <v>3.7</v>
      </c>
      <c r="C88" s="36" t="s">
        <v>217</v>
      </c>
      <c r="D88" s="32" t="s">
        <v>201</v>
      </c>
      <c r="E88" s="33">
        <v>11</v>
      </c>
      <c r="F88" s="47">
        <v>49.870350000000002</v>
      </c>
      <c r="G88" s="34">
        <f t="shared" si="6"/>
        <v>548.57384999999999</v>
      </c>
    </row>
    <row r="89" spans="2:7">
      <c r="B89" s="30"/>
      <c r="C89" s="36"/>
      <c r="D89" s="32"/>
      <c r="E89" s="33"/>
      <c r="F89" s="33"/>
      <c r="G89" s="34"/>
    </row>
    <row r="90" spans="2:7">
      <c r="B90" s="30">
        <v>3.8</v>
      </c>
      <c r="C90" s="36" t="s">
        <v>218</v>
      </c>
      <c r="D90" s="32" t="s">
        <v>166</v>
      </c>
      <c r="E90" s="33">
        <v>1</v>
      </c>
      <c r="F90" s="33">
        <v>1000</v>
      </c>
      <c r="G90" s="34">
        <f t="shared" si="6"/>
        <v>1000</v>
      </c>
    </row>
    <row r="91" spans="2:7">
      <c r="B91" s="30"/>
      <c r="C91" s="36"/>
      <c r="D91" s="32"/>
      <c r="E91" s="33"/>
      <c r="F91" s="33"/>
      <c r="G91" s="34"/>
    </row>
    <row r="92" spans="2:7">
      <c r="B92" s="30">
        <v>3.9</v>
      </c>
      <c r="C92" s="36" t="s">
        <v>219</v>
      </c>
      <c r="D92" s="32" t="s">
        <v>166</v>
      </c>
      <c r="E92" s="33">
        <v>1</v>
      </c>
      <c r="F92" s="33">
        <v>500</v>
      </c>
      <c r="G92" s="34">
        <f t="shared" si="6"/>
        <v>500</v>
      </c>
    </row>
    <row r="93" spans="2:7">
      <c r="B93" s="30"/>
      <c r="C93" s="36"/>
      <c r="D93" s="32"/>
      <c r="E93" s="33"/>
      <c r="F93" s="33"/>
      <c r="G93" s="48"/>
    </row>
    <row r="94" spans="2:7" ht="15.75">
      <c r="B94" s="49"/>
      <c r="C94" s="50" t="s">
        <v>220</v>
      </c>
      <c r="D94" s="51"/>
      <c r="E94" s="52"/>
      <c r="F94" s="53"/>
      <c r="G94" s="54">
        <f>SUM(G12:G92)</f>
        <v>594219.80684669688</v>
      </c>
    </row>
    <row r="95" spans="2:7">
      <c r="B95" s="55"/>
      <c r="C95" s="56"/>
      <c r="D95" s="57"/>
      <c r="E95" s="57"/>
      <c r="F95" s="57"/>
      <c r="G95" s="58"/>
    </row>
    <row r="96" spans="2:7">
      <c r="B96" s="616" t="s">
        <v>221</v>
      </c>
      <c r="C96" s="617"/>
      <c r="D96" s="617"/>
      <c r="E96" s="617"/>
      <c r="F96" s="617"/>
      <c r="G96" s="618"/>
    </row>
    <row r="97" spans="2:7">
      <c r="B97" s="16" t="s">
        <v>157</v>
      </c>
      <c r="C97" s="17" t="s">
        <v>158</v>
      </c>
      <c r="D97" s="18" t="s">
        <v>159</v>
      </c>
      <c r="E97" s="18" t="s">
        <v>5</v>
      </c>
      <c r="F97" s="18" t="s">
        <v>160</v>
      </c>
      <c r="G97" s="19" t="s">
        <v>161</v>
      </c>
    </row>
    <row r="98" spans="2:7">
      <c r="B98" s="59"/>
      <c r="C98" s="56"/>
      <c r="D98" s="57"/>
      <c r="E98" s="57"/>
      <c r="F98" s="57"/>
      <c r="G98" s="58"/>
    </row>
    <row r="99" spans="2:7">
      <c r="B99" s="60" t="s">
        <v>222</v>
      </c>
      <c r="C99" s="61" t="s">
        <v>223</v>
      </c>
      <c r="D99" s="57"/>
      <c r="E99" s="57"/>
      <c r="F99" s="57"/>
      <c r="G99" s="58"/>
    </row>
    <row r="100" spans="2:7" ht="45">
      <c r="B100" s="55">
        <v>1.1000000000000001</v>
      </c>
      <c r="C100" s="56" t="s">
        <v>224</v>
      </c>
      <c r="D100" s="57" t="s">
        <v>84</v>
      </c>
      <c r="E100" s="57">
        <v>30</v>
      </c>
      <c r="F100" s="57">
        <v>1074.0275942568601</v>
      </c>
      <c r="G100" s="62">
        <f>E100*F100</f>
        <v>32220.827827705802</v>
      </c>
    </row>
    <row r="101" spans="2:7">
      <c r="B101" s="55"/>
      <c r="C101" s="56"/>
      <c r="D101" s="57"/>
      <c r="E101" s="57"/>
      <c r="F101" s="57"/>
      <c r="G101" s="62"/>
    </row>
    <row r="102" spans="2:7" ht="30">
      <c r="B102" s="55">
        <v>1.2</v>
      </c>
      <c r="C102" s="56" t="s">
        <v>225</v>
      </c>
      <c r="D102" s="57"/>
      <c r="E102" s="57"/>
      <c r="F102" s="57"/>
      <c r="G102" s="62"/>
    </row>
    <row r="103" spans="2:7">
      <c r="B103" s="55"/>
      <c r="C103" s="56" t="s">
        <v>226</v>
      </c>
      <c r="D103" s="57" t="s">
        <v>84</v>
      </c>
      <c r="E103" s="57">
        <v>28</v>
      </c>
      <c r="F103" s="57">
        <v>394.11878861209999</v>
      </c>
      <c r="G103" s="62">
        <f t="shared" ref="G103:G162" si="7">E103*F103</f>
        <v>11035.326081138799</v>
      </c>
    </row>
    <row r="104" spans="2:7">
      <c r="B104" s="55"/>
      <c r="C104" s="56" t="s">
        <v>227</v>
      </c>
      <c r="D104" s="57" t="s">
        <v>84</v>
      </c>
      <c r="E104" s="57">
        <v>33</v>
      </c>
      <c r="F104" s="57">
        <v>444.73035587188599</v>
      </c>
      <c r="G104" s="62">
        <f t="shared" si="7"/>
        <v>14676.101743772238</v>
      </c>
    </row>
    <row r="105" spans="2:7">
      <c r="B105" s="55"/>
      <c r="C105" s="56"/>
      <c r="D105" s="57"/>
      <c r="E105" s="57"/>
      <c r="F105" s="57"/>
      <c r="G105" s="62"/>
    </row>
    <row r="106" spans="2:7" ht="30">
      <c r="B106" s="55">
        <v>1.3</v>
      </c>
      <c r="C106" s="56" t="s">
        <v>228</v>
      </c>
      <c r="D106" s="57" t="s">
        <v>229</v>
      </c>
      <c r="E106" s="57" t="s">
        <v>203</v>
      </c>
      <c r="F106" s="57">
        <v>492.83640000000003</v>
      </c>
      <c r="G106" s="62"/>
    </row>
    <row r="107" spans="2:7">
      <c r="B107" s="55"/>
      <c r="C107" s="56"/>
      <c r="D107" s="57"/>
      <c r="E107" s="57"/>
      <c r="F107" s="57"/>
      <c r="G107" s="62"/>
    </row>
    <row r="108" spans="2:7" ht="30">
      <c r="B108" s="55">
        <v>1.4</v>
      </c>
      <c r="C108" s="56" t="s">
        <v>230</v>
      </c>
      <c r="D108" s="57" t="s">
        <v>229</v>
      </c>
      <c r="E108" s="57" t="s">
        <v>203</v>
      </c>
      <c r="F108" s="57">
        <v>492.83640000000003</v>
      </c>
      <c r="G108" s="62"/>
    </row>
    <row r="109" spans="2:7">
      <c r="B109" s="55"/>
      <c r="C109" s="56"/>
      <c r="D109" s="57"/>
      <c r="E109" s="57"/>
      <c r="F109" s="57"/>
      <c r="G109" s="62"/>
    </row>
    <row r="110" spans="2:7">
      <c r="B110" s="55">
        <v>1.5</v>
      </c>
      <c r="C110" s="56" t="s">
        <v>231</v>
      </c>
      <c r="D110" s="57" t="s">
        <v>229</v>
      </c>
      <c r="E110" s="57">
        <v>30</v>
      </c>
      <c r="F110" s="57">
        <v>72.256590495084197</v>
      </c>
      <c r="G110" s="62">
        <f t="shared" si="7"/>
        <v>2167.6977148525257</v>
      </c>
    </row>
    <row r="111" spans="2:7">
      <c r="B111" s="55"/>
      <c r="C111" s="56"/>
      <c r="D111" s="57"/>
      <c r="E111" s="57"/>
      <c r="F111" s="57"/>
      <c r="G111" s="62"/>
    </row>
    <row r="112" spans="2:7" ht="30">
      <c r="B112" s="55">
        <v>1.55</v>
      </c>
      <c r="C112" s="56" t="s">
        <v>232</v>
      </c>
      <c r="D112" s="57" t="s">
        <v>229</v>
      </c>
      <c r="E112" s="57">
        <v>25</v>
      </c>
      <c r="F112" s="57">
        <v>539.77319999999997</v>
      </c>
      <c r="G112" s="62">
        <f t="shared" si="7"/>
        <v>13494.33</v>
      </c>
    </row>
    <row r="113" spans="2:7">
      <c r="B113" s="55"/>
      <c r="C113" s="56"/>
      <c r="D113" s="57"/>
      <c r="E113" s="57"/>
      <c r="F113" s="57"/>
      <c r="G113" s="62"/>
    </row>
    <row r="114" spans="2:7">
      <c r="B114" s="60" t="s">
        <v>233</v>
      </c>
      <c r="C114" s="61" t="s">
        <v>234</v>
      </c>
      <c r="D114" s="57"/>
      <c r="E114" s="57"/>
      <c r="F114" s="57"/>
      <c r="G114" s="62"/>
    </row>
    <row r="115" spans="2:7">
      <c r="B115" s="60"/>
      <c r="C115" s="61"/>
      <c r="D115" s="57"/>
      <c r="E115" s="57"/>
      <c r="F115" s="57"/>
      <c r="G115" s="62"/>
    </row>
    <row r="116" spans="2:7" ht="30">
      <c r="B116" s="55">
        <v>1.6</v>
      </c>
      <c r="C116" s="56" t="s">
        <v>235</v>
      </c>
      <c r="D116" s="57"/>
      <c r="E116" s="57"/>
      <c r="F116" s="57"/>
      <c r="G116" s="62"/>
    </row>
    <row r="117" spans="2:7">
      <c r="B117" s="55"/>
      <c r="C117" s="56"/>
      <c r="D117" s="57"/>
      <c r="E117" s="57"/>
      <c r="F117" s="57"/>
      <c r="G117" s="62"/>
    </row>
    <row r="118" spans="2:7">
      <c r="B118" s="55">
        <v>1.61</v>
      </c>
      <c r="C118" s="56" t="s">
        <v>236</v>
      </c>
      <c r="D118" s="57" t="s">
        <v>169</v>
      </c>
      <c r="E118" s="57">
        <v>450</v>
      </c>
      <c r="F118" s="57">
        <v>30.7593944579287</v>
      </c>
      <c r="G118" s="62">
        <f t="shared" si="7"/>
        <v>13841.727506067915</v>
      </c>
    </row>
    <row r="119" spans="2:7">
      <c r="B119" s="55"/>
      <c r="C119" s="56"/>
      <c r="D119" s="57"/>
      <c r="E119" s="57"/>
      <c r="F119" s="57"/>
      <c r="G119" s="62"/>
    </row>
    <row r="120" spans="2:7">
      <c r="B120" s="55">
        <v>1.62</v>
      </c>
      <c r="C120" s="56" t="s">
        <v>237</v>
      </c>
      <c r="D120" s="57" t="s">
        <v>169</v>
      </c>
      <c r="E120" s="57">
        <v>356</v>
      </c>
      <c r="F120" s="57">
        <v>30.7593944579287</v>
      </c>
      <c r="G120" s="62">
        <f t="shared" si="7"/>
        <v>10950.344427022617</v>
      </c>
    </row>
    <row r="121" spans="2:7">
      <c r="B121" s="55"/>
      <c r="C121" s="56"/>
      <c r="D121" s="57"/>
      <c r="E121" s="57"/>
      <c r="F121" s="57"/>
      <c r="G121" s="62"/>
    </row>
    <row r="122" spans="2:7">
      <c r="B122" s="55">
        <v>1.63</v>
      </c>
      <c r="C122" s="56" t="s">
        <v>238</v>
      </c>
      <c r="D122" s="57" t="s">
        <v>169</v>
      </c>
      <c r="E122" s="57">
        <v>250</v>
      </c>
      <c r="F122" s="57">
        <v>21.013843738584999</v>
      </c>
      <c r="G122" s="62">
        <f t="shared" si="7"/>
        <v>5253.4609346462494</v>
      </c>
    </row>
    <row r="123" spans="2:7">
      <c r="B123" s="55"/>
      <c r="C123" s="56"/>
      <c r="D123" s="57"/>
      <c r="E123" s="57"/>
      <c r="F123" s="57"/>
      <c r="G123" s="62"/>
    </row>
    <row r="124" spans="2:7">
      <c r="B124" s="55"/>
      <c r="C124" s="56"/>
      <c r="D124" s="57"/>
      <c r="E124" s="57"/>
      <c r="F124" s="57"/>
      <c r="G124" s="62"/>
    </row>
    <row r="125" spans="2:7" ht="30">
      <c r="B125" s="60">
        <v>2.2000000000000002</v>
      </c>
      <c r="C125" s="61" t="s">
        <v>239</v>
      </c>
      <c r="D125" s="57"/>
      <c r="E125" s="57"/>
      <c r="F125" s="57"/>
      <c r="G125" s="62"/>
    </row>
    <row r="126" spans="2:7">
      <c r="B126" s="55">
        <v>1.63</v>
      </c>
      <c r="C126" s="56" t="s">
        <v>238</v>
      </c>
      <c r="D126" s="57" t="s">
        <v>169</v>
      </c>
      <c r="E126" s="57">
        <v>100</v>
      </c>
      <c r="F126" s="57">
        <v>108.9165</v>
      </c>
      <c r="G126" s="62">
        <f t="shared" si="7"/>
        <v>10891.65</v>
      </c>
    </row>
    <row r="127" spans="2:7">
      <c r="B127" s="55"/>
      <c r="C127" s="56"/>
      <c r="D127" s="57"/>
      <c r="E127" s="57"/>
      <c r="F127" s="57"/>
      <c r="G127" s="62"/>
    </row>
    <row r="128" spans="2:7">
      <c r="B128" s="55">
        <v>2.25</v>
      </c>
      <c r="C128" s="56" t="s">
        <v>240</v>
      </c>
      <c r="D128" s="57" t="s">
        <v>169</v>
      </c>
      <c r="E128" s="57">
        <v>100</v>
      </c>
      <c r="F128" s="57">
        <v>41.020499999999998</v>
      </c>
      <c r="G128" s="62">
        <f t="shared" si="7"/>
        <v>4102.05</v>
      </c>
    </row>
    <row r="129" spans="2:7">
      <c r="B129" s="55"/>
      <c r="C129" s="56"/>
      <c r="D129" s="57"/>
      <c r="E129" s="57"/>
      <c r="F129" s="57"/>
      <c r="G129" s="62"/>
    </row>
    <row r="130" spans="2:7">
      <c r="B130" s="55">
        <v>2.5</v>
      </c>
      <c r="C130" s="56" t="s">
        <v>241</v>
      </c>
      <c r="D130" s="57" t="s">
        <v>169</v>
      </c>
      <c r="E130" s="57">
        <v>275</v>
      </c>
      <c r="F130" s="57">
        <v>25.460999999999999</v>
      </c>
      <c r="G130" s="62">
        <f t="shared" si="7"/>
        <v>7001.7749999999996</v>
      </c>
    </row>
    <row r="131" spans="2:7">
      <c r="B131" s="55"/>
      <c r="C131" s="56"/>
      <c r="D131" s="57"/>
      <c r="E131" s="57"/>
      <c r="F131" s="57"/>
      <c r="G131" s="62"/>
    </row>
    <row r="132" spans="2:7">
      <c r="B132" s="55">
        <v>2.75</v>
      </c>
      <c r="C132" s="56" t="s">
        <v>242</v>
      </c>
      <c r="D132" s="57" t="s">
        <v>169</v>
      </c>
      <c r="E132" s="57">
        <v>300</v>
      </c>
      <c r="F132" s="57">
        <v>14.145</v>
      </c>
      <c r="G132" s="62">
        <f t="shared" si="7"/>
        <v>4243.5</v>
      </c>
    </row>
    <row r="133" spans="2:7">
      <c r="B133" s="55"/>
      <c r="C133" s="56"/>
      <c r="D133" s="57"/>
      <c r="E133" s="57"/>
      <c r="F133" s="57"/>
      <c r="G133" s="62"/>
    </row>
    <row r="134" spans="2:7">
      <c r="B134" s="55">
        <v>2.78</v>
      </c>
      <c r="C134" s="63" t="s">
        <v>243</v>
      </c>
      <c r="D134" s="57" t="s">
        <v>169</v>
      </c>
      <c r="E134" s="57">
        <v>100</v>
      </c>
      <c r="F134" s="63">
        <v>11</v>
      </c>
      <c r="G134" s="58">
        <f t="shared" ref="G134" si="8">E134*F134</f>
        <v>1100</v>
      </c>
    </row>
    <row r="135" spans="2:7">
      <c r="B135" s="55"/>
      <c r="C135" s="63"/>
      <c r="D135" s="57"/>
      <c r="E135" s="57"/>
      <c r="F135" s="63"/>
      <c r="G135" s="58"/>
    </row>
    <row r="136" spans="2:7" ht="30">
      <c r="B136" s="55">
        <v>3</v>
      </c>
      <c r="C136" s="56" t="s">
        <v>244</v>
      </c>
      <c r="D136" s="57" t="s">
        <v>84</v>
      </c>
      <c r="E136" s="57">
        <v>25</v>
      </c>
      <c r="F136" s="57">
        <v>337.35825</v>
      </c>
      <c r="G136" s="62">
        <f t="shared" si="7"/>
        <v>8433.9562499999993</v>
      </c>
    </row>
    <row r="137" spans="2:7">
      <c r="B137" s="55"/>
      <c r="C137" s="56"/>
      <c r="D137" s="57"/>
      <c r="E137" s="57"/>
      <c r="F137" s="57"/>
      <c r="G137" s="62"/>
    </row>
    <row r="138" spans="2:7" ht="30">
      <c r="B138" s="60">
        <v>3.1</v>
      </c>
      <c r="C138" s="61" t="s">
        <v>245</v>
      </c>
      <c r="D138" s="57"/>
      <c r="E138" s="57"/>
      <c r="F138" s="57"/>
      <c r="G138" s="62"/>
    </row>
    <row r="139" spans="2:7">
      <c r="B139" s="60"/>
      <c r="C139" s="61"/>
      <c r="D139" s="57"/>
      <c r="E139" s="57"/>
      <c r="F139" s="57"/>
      <c r="G139" s="62"/>
    </row>
    <row r="140" spans="2:7">
      <c r="B140" s="55">
        <v>3.15</v>
      </c>
      <c r="C140" s="63" t="s">
        <v>246</v>
      </c>
      <c r="D140" s="57" t="s">
        <v>84</v>
      </c>
      <c r="E140" s="57">
        <v>50</v>
      </c>
      <c r="F140" s="63">
        <v>108</v>
      </c>
      <c r="G140" s="58">
        <f t="shared" ref="G140" si="9">E140*F140</f>
        <v>5400</v>
      </c>
    </row>
    <row r="141" spans="2:7">
      <c r="B141" s="55"/>
      <c r="C141" s="63"/>
      <c r="D141" s="57"/>
      <c r="E141" s="57"/>
      <c r="F141" s="63"/>
      <c r="G141" s="58"/>
    </row>
    <row r="142" spans="2:7">
      <c r="B142" s="55">
        <v>3.2</v>
      </c>
      <c r="C142" s="56" t="s">
        <v>247</v>
      </c>
      <c r="D142" s="57" t="s">
        <v>84</v>
      </c>
      <c r="E142" s="57">
        <v>40</v>
      </c>
      <c r="F142" s="57">
        <v>121.88961295584799</v>
      </c>
      <c r="G142" s="62">
        <f t="shared" si="7"/>
        <v>4875.5845182339199</v>
      </c>
    </row>
    <row r="143" spans="2:7">
      <c r="B143" s="55"/>
      <c r="C143" s="56"/>
      <c r="D143" s="57"/>
      <c r="E143" s="57"/>
      <c r="F143" s="57"/>
      <c r="G143" s="62"/>
    </row>
    <row r="144" spans="2:7">
      <c r="B144" s="55">
        <v>3.3</v>
      </c>
      <c r="C144" s="56" t="s">
        <v>248</v>
      </c>
      <c r="D144" s="57" t="s">
        <v>84</v>
      </c>
      <c r="E144" s="57">
        <v>30</v>
      </c>
      <c r="F144" s="57">
        <v>138.04539597484799</v>
      </c>
      <c r="G144" s="62">
        <f t="shared" si="7"/>
        <v>4141.3618792454399</v>
      </c>
    </row>
    <row r="145" spans="2:9">
      <c r="B145" s="55"/>
      <c r="C145" s="56"/>
      <c r="D145" s="57"/>
      <c r="E145" s="57"/>
      <c r="F145" s="57"/>
      <c r="G145" s="62"/>
    </row>
    <row r="146" spans="2:9">
      <c r="B146" s="55">
        <v>3.4</v>
      </c>
      <c r="C146" s="56" t="s">
        <v>249</v>
      </c>
      <c r="D146" s="57" t="s">
        <v>84</v>
      </c>
      <c r="E146" s="57">
        <v>30</v>
      </c>
      <c r="F146" s="57">
        <v>138.04539597484799</v>
      </c>
      <c r="G146" s="62">
        <f t="shared" si="7"/>
        <v>4141.3618792454399</v>
      </c>
    </row>
    <row r="147" spans="2:9">
      <c r="B147" s="55"/>
      <c r="C147" s="56"/>
      <c r="D147" s="57"/>
      <c r="E147" s="57"/>
      <c r="F147" s="57"/>
      <c r="G147" s="62"/>
    </row>
    <row r="148" spans="2:9">
      <c r="B148" s="55">
        <v>3.5</v>
      </c>
      <c r="C148" s="56" t="s">
        <v>238</v>
      </c>
      <c r="D148" s="57" t="s">
        <v>84</v>
      </c>
      <c r="E148" s="57">
        <v>20</v>
      </c>
      <c r="F148" s="57">
        <v>160</v>
      </c>
      <c r="G148" s="62">
        <f t="shared" si="7"/>
        <v>3200</v>
      </c>
    </row>
    <row r="149" spans="2:9">
      <c r="B149" s="55"/>
      <c r="C149" s="56"/>
      <c r="D149" s="57"/>
      <c r="E149" s="57"/>
      <c r="F149" s="57"/>
      <c r="G149" s="62"/>
    </row>
    <row r="150" spans="2:9" ht="75">
      <c r="B150" s="60">
        <v>4</v>
      </c>
      <c r="C150" s="64" t="s">
        <v>250</v>
      </c>
      <c r="D150" s="57"/>
      <c r="E150" s="57"/>
      <c r="F150" s="57"/>
      <c r="G150" s="62"/>
    </row>
    <row r="151" spans="2:9">
      <c r="B151" s="55"/>
      <c r="C151" s="56"/>
      <c r="D151" s="57"/>
      <c r="E151" s="57"/>
      <c r="F151" s="57"/>
      <c r="G151" s="62"/>
    </row>
    <row r="152" spans="2:9">
      <c r="B152" s="55">
        <v>4.0999999999999996</v>
      </c>
      <c r="C152" s="63" t="s">
        <v>251</v>
      </c>
      <c r="D152" s="57" t="s">
        <v>169</v>
      </c>
      <c r="E152" s="57">
        <v>120</v>
      </c>
      <c r="F152" s="63">
        <v>9</v>
      </c>
      <c r="G152" s="58">
        <f t="shared" ref="G152" si="10">E152*F152</f>
        <v>1080</v>
      </c>
      <c r="I152" s="70"/>
    </row>
    <row r="153" spans="2:9">
      <c r="B153" s="55">
        <v>4.1500000000000004</v>
      </c>
      <c r="C153" s="56" t="s">
        <v>252</v>
      </c>
      <c r="D153" s="57" t="s">
        <v>169</v>
      </c>
      <c r="E153" s="57">
        <v>100</v>
      </c>
      <c r="F153" s="57">
        <v>10.900724282526101</v>
      </c>
      <c r="G153" s="62">
        <f t="shared" si="7"/>
        <v>1090.0724282526101</v>
      </c>
    </row>
    <row r="154" spans="2:9">
      <c r="B154" s="55">
        <v>4.2</v>
      </c>
      <c r="C154" s="56" t="s">
        <v>253</v>
      </c>
      <c r="D154" s="57" t="s">
        <v>169</v>
      </c>
      <c r="E154" s="57">
        <v>20</v>
      </c>
      <c r="F154" s="57">
        <v>12.263314817841801</v>
      </c>
      <c r="G154" s="62">
        <f t="shared" si="7"/>
        <v>245.26629635683602</v>
      </c>
    </row>
    <row r="155" spans="2:9">
      <c r="B155" s="55">
        <v>4.3</v>
      </c>
      <c r="C155" s="63" t="s">
        <v>254</v>
      </c>
      <c r="D155" s="57" t="s">
        <v>169</v>
      </c>
      <c r="E155" s="57">
        <v>30</v>
      </c>
      <c r="F155" s="63">
        <v>14</v>
      </c>
      <c r="G155" s="58">
        <f t="shared" si="7"/>
        <v>420</v>
      </c>
      <c r="I155" s="70"/>
    </row>
    <row r="156" spans="2:9">
      <c r="B156" s="55">
        <v>4.0999999999999996</v>
      </c>
      <c r="C156" s="63" t="s">
        <v>255</v>
      </c>
      <c r="D156" s="57" t="s">
        <v>169</v>
      </c>
      <c r="E156" s="57">
        <v>50</v>
      </c>
      <c r="F156" s="63">
        <v>16</v>
      </c>
      <c r="G156" s="58">
        <f t="shared" si="7"/>
        <v>800</v>
      </c>
      <c r="I156" s="70"/>
    </row>
    <row r="157" spans="2:9">
      <c r="B157" s="55">
        <v>4.2</v>
      </c>
      <c r="C157" s="63" t="s">
        <v>256</v>
      </c>
      <c r="D157" s="57" t="s">
        <v>169</v>
      </c>
      <c r="E157" s="57">
        <v>50</v>
      </c>
      <c r="F157" s="63">
        <v>18</v>
      </c>
      <c r="G157" s="58">
        <f t="shared" si="7"/>
        <v>900</v>
      </c>
      <c r="I157" s="70"/>
    </row>
    <row r="158" spans="2:9">
      <c r="B158" s="55"/>
      <c r="C158" s="63"/>
      <c r="D158" s="57"/>
      <c r="E158" s="57"/>
      <c r="F158" s="63"/>
      <c r="G158" s="58"/>
    </row>
    <row r="159" spans="2:9">
      <c r="B159" s="55"/>
      <c r="C159" s="56"/>
      <c r="D159" s="57"/>
      <c r="E159" s="57"/>
      <c r="F159" s="57"/>
      <c r="G159" s="62"/>
    </row>
    <row r="160" spans="2:9">
      <c r="B160" s="55">
        <v>4.4000000000000004</v>
      </c>
      <c r="C160" s="56" t="s">
        <v>218</v>
      </c>
      <c r="D160" s="57" t="s">
        <v>166</v>
      </c>
      <c r="E160" s="57">
        <v>1</v>
      </c>
      <c r="F160" s="57">
        <v>1000</v>
      </c>
      <c r="G160" s="62">
        <f t="shared" si="7"/>
        <v>1000</v>
      </c>
    </row>
    <row r="161" spans="2:7">
      <c r="B161" s="55"/>
      <c r="C161" s="56"/>
      <c r="D161" s="57"/>
      <c r="E161" s="57"/>
      <c r="F161" s="57"/>
      <c r="G161" s="62"/>
    </row>
    <row r="162" spans="2:7">
      <c r="B162" s="55">
        <v>4.5</v>
      </c>
      <c r="C162" s="56" t="s">
        <v>219</v>
      </c>
      <c r="D162" s="57" t="s">
        <v>166</v>
      </c>
      <c r="E162" s="57">
        <v>1</v>
      </c>
      <c r="F162" s="57">
        <v>500</v>
      </c>
      <c r="G162" s="62">
        <f t="shared" si="7"/>
        <v>500</v>
      </c>
    </row>
    <row r="163" spans="2:7">
      <c r="B163" s="55"/>
      <c r="C163" s="56"/>
      <c r="D163" s="57"/>
      <c r="E163" s="57"/>
      <c r="F163" s="57"/>
      <c r="G163" s="58"/>
    </row>
    <row r="164" spans="2:7">
      <c r="B164" s="65"/>
      <c r="C164" s="66"/>
      <c r="D164" s="67"/>
      <c r="E164" s="67"/>
      <c r="F164" s="67"/>
      <c r="G164" s="68"/>
    </row>
    <row r="165" spans="2:7" ht="15.75">
      <c r="B165" s="49"/>
      <c r="C165" s="50" t="s">
        <v>257</v>
      </c>
      <c r="D165" s="51"/>
      <c r="E165" s="52"/>
      <c r="F165" s="69"/>
      <c r="G165" s="54">
        <f>SUM(G100:G163)</f>
        <v>167206.39448654038</v>
      </c>
    </row>
  </sheetData>
  <mergeCells count="5">
    <mergeCell ref="B1:C1"/>
    <mergeCell ref="B2:C2"/>
    <mergeCell ref="B6:G6"/>
    <mergeCell ref="B7:G7"/>
    <mergeCell ref="B96:G9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89"/>
  <sheetViews>
    <sheetView workbookViewId="0">
      <selection activeCell="H77" sqref="H77"/>
    </sheetView>
  </sheetViews>
  <sheetFormatPr defaultColWidth="9.140625" defaultRowHeight="12.75"/>
  <cols>
    <col min="1" max="1" width="9.140625" style="110"/>
    <col min="2" max="2" width="14.42578125" style="110" customWidth="1"/>
    <col min="3" max="3" width="14.5703125" style="110" customWidth="1"/>
    <col min="4" max="4" width="15.5703125" style="110" customWidth="1"/>
    <col min="5" max="5" width="13.5703125" style="110" customWidth="1"/>
    <col min="6" max="6" width="9.85546875" style="110" customWidth="1"/>
    <col min="7" max="7" width="8.5703125" style="110" customWidth="1"/>
    <col min="8" max="8" width="18" style="110" customWidth="1"/>
    <col min="9" max="9" width="12.28515625" style="110" customWidth="1"/>
    <col min="10" max="10" width="10.42578125" style="111" customWidth="1"/>
    <col min="11" max="11" width="9.28515625" style="111" customWidth="1"/>
    <col min="12" max="13" width="9.140625" style="112"/>
    <col min="14" max="14" width="14.7109375" style="112" customWidth="1"/>
    <col min="15" max="15" width="12.42578125" style="112" customWidth="1"/>
    <col min="16" max="16" width="24.42578125" style="112" customWidth="1"/>
    <col min="17" max="16384" width="9.140625" style="110"/>
  </cols>
  <sheetData>
    <row r="2" spans="1:16" ht="15">
      <c r="A2" s="113"/>
      <c r="B2" s="113"/>
    </row>
    <row r="3" spans="1:16">
      <c r="A3" s="399"/>
      <c r="B3" s="399"/>
      <c r="C3" s="399"/>
      <c r="D3" s="399"/>
    </row>
    <row r="4" spans="1:16" ht="15">
      <c r="A4" s="113"/>
      <c r="B4" s="113"/>
      <c r="I4" s="110">
        <f>(D13+E13)/1000*H13</f>
        <v>5031.1499999999996</v>
      </c>
    </row>
    <row r="5" spans="1:16" ht="15">
      <c r="A5" s="113"/>
      <c r="B5" s="113"/>
    </row>
    <row r="6" spans="1:16" ht="15">
      <c r="A6" s="113"/>
      <c r="B6" s="113"/>
    </row>
    <row r="7" spans="1:16" ht="25.5">
      <c r="A7" s="406" t="s">
        <v>20</v>
      </c>
      <c r="B7" s="407" t="s">
        <v>21</v>
      </c>
      <c r="C7" s="400" t="s">
        <v>22</v>
      </c>
      <c r="D7" s="400" t="s">
        <v>23</v>
      </c>
      <c r="E7" s="401"/>
      <c r="F7" s="401"/>
      <c r="G7" s="401"/>
      <c r="H7" s="400" t="s">
        <v>24</v>
      </c>
      <c r="I7" s="411" t="s">
        <v>25</v>
      </c>
      <c r="J7" s="398" t="s">
        <v>26</v>
      </c>
      <c r="K7" s="402" t="s">
        <v>27</v>
      </c>
      <c r="L7" s="402" t="s">
        <v>28</v>
      </c>
      <c r="M7" s="402" t="s">
        <v>29</v>
      </c>
      <c r="N7" s="122" t="s">
        <v>30</v>
      </c>
      <c r="O7" s="122" t="s">
        <v>31</v>
      </c>
      <c r="P7" s="398" t="s">
        <v>32</v>
      </c>
    </row>
    <row r="8" spans="1:16">
      <c r="A8" s="406"/>
      <c r="B8" s="408"/>
      <c r="C8" s="400"/>
      <c r="D8" s="410" t="s">
        <v>33</v>
      </c>
      <c r="E8" s="410" t="s">
        <v>34</v>
      </c>
      <c r="F8" s="410" t="s">
        <v>35</v>
      </c>
      <c r="G8" s="410" t="s">
        <v>36</v>
      </c>
      <c r="H8" s="400"/>
      <c r="I8" s="411"/>
      <c r="J8" s="412" t="s">
        <v>37</v>
      </c>
      <c r="K8" s="412" t="s">
        <v>27</v>
      </c>
      <c r="L8" s="413" t="s">
        <v>28</v>
      </c>
      <c r="M8" s="413" t="s">
        <v>29</v>
      </c>
      <c r="N8" s="123" t="s">
        <v>38</v>
      </c>
      <c r="O8" s="123" t="s">
        <v>39</v>
      </c>
      <c r="P8" s="398"/>
    </row>
    <row r="9" spans="1:16">
      <c r="A9" s="406"/>
      <c r="B9" s="409"/>
      <c r="C9" s="400"/>
      <c r="D9" s="410"/>
      <c r="E9" s="410"/>
      <c r="F9" s="410"/>
      <c r="G9" s="410"/>
      <c r="H9" s="400"/>
      <c r="I9" s="124" t="s">
        <v>40</v>
      </c>
      <c r="J9" s="412"/>
      <c r="K9" s="412"/>
      <c r="L9" s="413"/>
      <c r="M9" s="413"/>
      <c r="N9" s="125"/>
      <c r="O9" s="126">
        <v>9</v>
      </c>
      <c r="P9" s="398" t="s">
        <v>32</v>
      </c>
    </row>
    <row r="10" spans="1:16" ht="14.25">
      <c r="A10" s="403" t="s">
        <v>41</v>
      </c>
      <c r="B10" s="404"/>
      <c r="C10" s="404"/>
      <c r="D10" s="404"/>
      <c r="E10" s="404"/>
      <c r="F10" s="404"/>
      <c r="G10" s="404"/>
      <c r="H10" s="404"/>
      <c r="I10" s="404"/>
      <c r="J10" s="404"/>
      <c r="K10" s="404"/>
      <c r="L10" s="404"/>
      <c r="M10" s="404"/>
      <c r="N10" s="404"/>
      <c r="O10" s="405"/>
      <c r="P10" s="127"/>
    </row>
    <row r="11" spans="1:16" ht="22.5" customHeight="1">
      <c r="A11" s="114" t="s">
        <v>42</v>
      </c>
      <c r="B11" s="115"/>
      <c r="C11" s="115"/>
      <c r="D11" s="115"/>
      <c r="E11" s="115"/>
      <c r="F11" s="115"/>
      <c r="G11" s="116"/>
      <c r="H11" s="116">
        <f>SUM(H13:H67)</f>
        <v>44008</v>
      </c>
      <c r="I11" s="128"/>
      <c r="J11" s="116">
        <f>SUM(J13:J67)+10%*SUM(J13:J67)</f>
        <v>73.326497199999977</v>
      </c>
      <c r="K11" s="116">
        <f t="shared" ref="K11:O11" si="0">SUM(K13:K67)+10%*SUM(K13:K67)</f>
        <v>0</v>
      </c>
      <c r="L11" s="116">
        <f t="shared" si="0"/>
        <v>0</v>
      </c>
      <c r="M11" s="116">
        <f t="shared" si="0"/>
        <v>0</v>
      </c>
      <c r="N11" s="116">
        <f t="shared" si="0"/>
        <v>0</v>
      </c>
      <c r="O11" s="116">
        <f t="shared" si="0"/>
        <v>75.371669119999979</v>
      </c>
      <c r="P11" s="129"/>
    </row>
    <row r="12" spans="1:16" ht="17.25" customHeight="1">
      <c r="A12" s="117"/>
      <c r="B12" s="118" t="s">
        <v>43</v>
      </c>
      <c r="C12" s="117"/>
      <c r="D12" s="119"/>
      <c r="E12" s="119"/>
      <c r="F12" s="119"/>
      <c r="G12" s="119"/>
      <c r="H12" s="117"/>
      <c r="I12" s="130"/>
      <c r="J12" s="131"/>
      <c r="K12" s="131"/>
      <c r="L12" s="132"/>
      <c r="M12" s="132"/>
      <c r="N12" s="132"/>
      <c r="O12" s="131"/>
      <c r="P12" s="133"/>
    </row>
    <row r="13" spans="1:16" s="109" customFormat="1" ht="17.25" customHeight="1">
      <c r="A13" s="120">
        <v>1</v>
      </c>
      <c r="B13" s="120" t="s">
        <v>44</v>
      </c>
      <c r="C13" s="120">
        <v>1</v>
      </c>
      <c r="D13" s="120">
        <v>650</v>
      </c>
      <c r="E13" s="120">
        <v>200</v>
      </c>
      <c r="F13" s="120"/>
      <c r="G13" s="120"/>
      <c r="H13" s="120">
        <v>5919</v>
      </c>
      <c r="I13" s="134" t="s">
        <v>45</v>
      </c>
      <c r="J13" s="135">
        <f>IF(MAX($D13:$G13)&lt;=750,IF($C13=2,SUM($D13:$G13)*$H13/1000000,IF($C13=3,(2*($D13+$E13)*3.143*((150+$D13/2)/4)*2)/1000000,IF($C13=4,((2*($D13+$E13)*3.143*((150+$D13/2)/4)*2)/1000000)/2,IF($C13=5,SUM($D13:$G13)*2*3.143*((150+($D13+$F13)/4)/4)/1000000,IF($C13=6,$D13*$E13/1000000,2*($D13+$E13)*$H13/1000000))))),"")</f>
        <v>10.0623</v>
      </c>
      <c r="K13" s="135" t="str">
        <f>IF(MAX($D13:$G13)&gt;=751,IF(MAX($D13:$G13)&lt;=1500,IF($C13=2,SUM($D13:$G13)*$H13/1000000,IF($C13=3,(2*($D13+$E13)*3.143*((150+$D13/2)/4)*2)/1000000,IF($C13=4,((2*($D13+$E13)*3.143*((150+$D13/2)/4)*2)/1000000)/2,IF($C13=5,SUM($D13:$G13)*2*3.143*((150+($D13+$F13)/4)/4)/1000000,IF($C13=6,$D13*$E13/1000000,2*($D13+$E13)*$H13/1000000))))),""),"")</f>
        <v/>
      </c>
      <c r="L13" s="136" t="str">
        <f>IF(MAX($D13:$G13)&gt;1501,IF(MAX($D13:$G13)&lt;=2250,IF($C13=2,SUM($D13:$G13)*$H13/1000000,IF($C13=3,(2*($D13+$E13)*3.143*((150+$D13/2)/4)*2)/1000000,IF($C13=4,((2*($D13+$E13)*3.143*((150+$D13/2)/4)*2)/1000000)/2,IF($C13=5,SUM($D13:$G13)*2*3.143*((150+($D13+$F13)/4)/4)/1000000,IF($C13=6,$D13*$E13/1000000,2*($D13+$E13)*$H13/1000000))))),""),"")</f>
        <v/>
      </c>
      <c r="M13" s="136" t="str">
        <f>IF(MAX($D13:$G13)&gt;2251,IF($C13=2,SUM($D13:$G13)*$H13/1000000,IF($C13=3,(2*($D13+$E13)*3.143*((150+$D13/2)/4)*2)/1000000,IF($C13=4,((2*($D13+$E13)*3.143*((150+$D13/2)/4)*2)/1000000)/2,IF($C13=5,SUM($D13:$G13)*2*3.143*((150+($D13+$F13)/4)/4)/1000000,IF($C13=6,$D13*$E13/1000000,2*($D13+$E13)*$H13/1000000))))),"")</f>
        <v/>
      </c>
      <c r="N13" s="174" t="str">
        <f>IF($I13="A",IF($C13=2,SUM($D13:$G13)*$H13/1000000,IF($C13=3,(2*($D13+$E13)*3.143*((150+$D13/2)/4)*2)/1000000,IF($C13=4,((2*($D13+$E13)*3.143*((150+$D13/2)/4)*2)/1000000)/2,IF($C13=5,SUM($D13:$G13)*2*3.143*((150+($D13+$F13)/4)/4)/1000000,IF($C13=6,$D13*$E13/1000000,2*($D13+$E13)*$H13/1000000))))),"T")</f>
        <v>T</v>
      </c>
      <c r="O13" s="135">
        <f t="shared" ref="O13:O67" si="1">IF($I13="T",IF($C13=2,($D13+$E13+$F13+$G13+(8*$O$9))*$H13/1000000,IF($C13=3,(2*($D13+$E13+(4*$O$9))*3.143*((150+($D13/2))/4)*2)/1000000,IF($C13=4,(2*($D13+$E13)+(4*$O$9))*3.143*((150+$D13/2)/4)/1000000,IF($C13=5,(($D13+$E13+$F13+$G13)+(8*$O$9))*2*3.143*((150+($D13+$F13)/4)/4)/1000000,IF($C13=6,($D13+(2*$O$9))*($E13+(2*$O$9))/1000000,2*($D13+$E13+(4*$O$9))*$H13/1000000))))),"")</f>
        <v>10.488467999999999</v>
      </c>
      <c r="P13" s="137"/>
    </row>
    <row r="14" spans="1:16" ht="17.25" customHeight="1">
      <c r="A14" s="121">
        <f>A13+1</f>
        <v>2</v>
      </c>
      <c r="B14" s="121"/>
      <c r="C14" s="121">
        <v>1</v>
      </c>
      <c r="D14" s="121">
        <v>650</v>
      </c>
      <c r="E14" s="121">
        <v>200</v>
      </c>
      <c r="F14" s="121"/>
      <c r="G14" s="121"/>
      <c r="H14" s="121">
        <f>478*2</f>
        <v>956</v>
      </c>
      <c r="I14" s="134" t="s">
        <v>45</v>
      </c>
      <c r="J14" s="135">
        <f>IF(MAX($D14:$G14)&lt;=750,IF($C14=2,SUM($D14:$G14)*$H14/1000000,IF($C14=3,(2*($D14+$E14)*3.143*((150+$D14/2)/4)*2)/1000000,IF($C14=4,((2*($D14+$E14)*3.143*((150+$D14/2)/4)*2)/1000000)/2,IF($C14=5,SUM($D14:$G14)*2*3.143*((150+($D14+$F14)/4)/4)/1000000,IF($C14=6,$D14*$E14/1000000,2*($D14+$E14)*$H14/1000000))))),"")</f>
        <v>1.6252</v>
      </c>
      <c r="K14" s="135" t="str">
        <f>IF(MAX($D14:$G14)&gt;=751,IF(MAX($D14:$G14)&lt;=1500,IF($C14=2,SUM($D14:$G14)*$H14/1000000,IF($C14=3,(2*($D14+$E14)*3.143*((150+$D14/2)/4)*2)/1000000,IF($C14=4,((2*($D14+$E14)*3.143*((150+$D14/2)/4)*2)/1000000)/2,IF($C14=5,SUM($D14:$G14)*2*3.143*((150+($D14+$F14)/4)/4)/1000000,IF($C14=6,$D14*$E14/1000000,2*($D14+$E14)*$H14/1000000))))),""),"")</f>
        <v/>
      </c>
      <c r="L14" s="136" t="str">
        <f>IF(MAX($D14:$G14)&gt;1501,IF(MAX($D14:$G14)&lt;=2250,IF($C14=2,SUM($D14:$G14)*$H14/1000000,IF($C14=3,(2*($D14+$E14)*3.143*((150+$D14/2)/4)*2)/1000000,IF($C14=4,((2*($D14+$E14)*3.143*((150+$D14/2)/4)*2)/1000000)/2,IF($C14=5,SUM($D14:$G14)*2*3.143*((150+($D14+$F14)/4)/4)/1000000,IF($C14=6,$D14*$E14/1000000,2*($D14+$E14)*$H14/1000000))))),""),"")</f>
        <v/>
      </c>
      <c r="M14" s="136" t="str">
        <f>IF(MAX($D14:$G14)&gt;2251,IF($C14=2,SUM($D14:$G14)*$H14/1000000,IF($C14=3,(2*($D14+$E14)*3.143*((150+$D14/2)/4)*2)/1000000,IF($C14=4,((2*($D14+$E14)*3.143*((150+$D14/2)/4)*2)/1000000)/2,IF($C14=5,SUM($D14:$G14)*2*3.143*((150+($D14+$F14)/4)/4)/1000000,IF($C14=6,$D14*$E14/1000000,2*($D14+$E14)*$H14/1000000))))),"")</f>
        <v/>
      </c>
      <c r="N14" s="136"/>
      <c r="O14" s="135"/>
      <c r="P14" s="137"/>
    </row>
    <row r="15" spans="1:16" ht="17.25" customHeight="1">
      <c r="A15" s="121">
        <f t="shared" ref="A15:A17" si="2">A14+1</f>
        <v>3</v>
      </c>
      <c r="B15" s="120"/>
      <c r="C15" s="121">
        <v>1</v>
      </c>
      <c r="D15" s="120">
        <v>650</v>
      </c>
      <c r="E15" s="120">
        <v>200</v>
      </c>
      <c r="F15" s="121"/>
      <c r="G15" s="121"/>
      <c r="H15" s="121">
        <v>348</v>
      </c>
      <c r="I15" s="134" t="s">
        <v>45</v>
      </c>
      <c r="J15" s="135">
        <f t="shared" ref="J15:J75" si="3">IF(MAX($D15:$G15)&lt;=750,IF($C15=2,SUM($D15:$G15)*$H15/1000000,IF($C15=3,(2*($D15+$E15)*3.143*((150+$D15/2)/4)*2)/1000000,IF($C15=4,((2*($D15+$E15)*3.143*((150+$D15/2)/4)*2)/1000000)/2,IF($C15=5,SUM($D15:$G15)*2*3.143*((150+($D15+$F15)/4)/4)/1000000,IF($C15=6,$D15*$E15/1000000,2*($D15+$E15)*$H15/1000000))))),"")</f>
        <v>0.59160000000000001</v>
      </c>
      <c r="K15" s="135" t="str">
        <f t="shared" ref="K15:K67" si="4">IF(MAX($D15:$G15)&gt;=751,IF(MAX($D15:$G15)&lt;=1500,IF($C15=2,SUM($D15:$G15)*$H15/1000000,IF($C15=3,(2*($D15+$E15)*3.143*((150+$D15/2)/4)*2)/1000000,IF($C15=4,((2*($D15+$E15)*3.143*((150+$D15/2)/4)*2)/1000000)/2,IF($C15=5,SUM($D15:$G15)*2*3.143*((150+($D15+$F15)/4)/4)/1000000,IF($C15=6,$D15*$E15/1000000,2*($D15+$E15)*$H15/1000000))))),""),"")</f>
        <v/>
      </c>
      <c r="L15" s="136" t="str">
        <f t="shared" ref="L15:L67" si="5">IF(MAX($D15:$G15)&gt;1501,IF(MAX($D15:$G15)&lt;=2250,IF($C15=2,SUM($D15:$G15)*$H15/1000000,IF($C15=3,(2*($D15+$E15)*3.143*((150+$D15/2)/4)*2)/1000000,IF($C15=4,((2*($D15+$E15)*3.143*((150+$D15/2)/4)*2)/1000000)/2,IF($C15=5,SUM($D15:$G15)*2*3.143*((150+($D15+$F15)/4)/4)/1000000,IF($C15=6,$D15*$E15/1000000,2*($D15+$E15)*$H15/1000000))))),""),"")</f>
        <v/>
      </c>
      <c r="M15" s="136" t="str">
        <f t="shared" ref="M15:M67" si="6">IF(MAX($D15:$G15)&gt;2251,IF($C15=2,SUM($D15:$G15)*$H15/1000000,IF($C15=3,(2*($D15+$E15)*3.143*((150+$D15/2)/4)*2)/1000000,IF($C15=4,((2*($D15+$E15)*3.143*((150+$D15/2)/4)*2)/1000000)/2,IF($C15=5,SUM($D15:$G15)*2*3.143*((150+($D15+$F15)/4)/4)/1000000,IF($C15=6,$D15*$E15/1000000,2*($D15+$E15)*$H15/1000000))))),"")</f>
        <v/>
      </c>
      <c r="N15" s="174" t="str">
        <f t="shared" ref="N15:N67" si="7">IF($I15="A",IF($C15=2,SUM($D15:$G15)*$H15/1000000,IF($C15=3,(2*($D15+$E15)*3.143*((150+$D15/2)/4)*2)/1000000,IF($C15=4,((2*($D15+$E15)*3.143*((150+$D15/2)/4)*2)/1000000)/2,IF($C15=5,SUM($D15:$G15)*2*3.143*((150+($D15+$F15)/4)/4)/1000000,IF($C15=6,$D15*$E15/1000000,2*($D15+$E15)*$H15/1000000))))),"T")</f>
        <v>T</v>
      </c>
      <c r="O15" s="135">
        <f t="shared" si="1"/>
        <v>0.61665599999999998</v>
      </c>
      <c r="P15" s="137"/>
    </row>
    <row r="16" spans="1:16" ht="17.25" customHeight="1">
      <c r="A16" s="121">
        <f t="shared" si="2"/>
        <v>4</v>
      </c>
      <c r="B16" s="120"/>
      <c r="C16" s="121">
        <v>3</v>
      </c>
      <c r="D16" s="120">
        <v>650</v>
      </c>
      <c r="E16" s="120">
        <v>200</v>
      </c>
      <c r="F16" s="121"/>
      <c r="G16" s="121"/>
      <c r="H16" s="121"/>
      <c r="I16" s="134" t="s">
        <v>45</v>
      </c>
      <c r="J16" s="135">
        <f t="shared" si="3"/>
        <v>1.2689862499999998</v>
      </c>
      <c r="K16" s="135" t="str">
        <f t="shared" si="4"/>
        <v/>
      </c>
      <c r="L16" s="136" t="str">
        <f t="shared" si="5"/>
        <v/>
      </c>
      <c r="M16" s="136" t="str">
        <f t="shared" si="6"/>
        <v/>
      </c>
      <c r="N16" s="174" t="str">
        <f t="shared" si="7"/>
        <v>T</v>
      </c>
      <c r="O16" s="135">
        <f t="shared" si="1"/>
        <v>1.3227315500000001</v>
      </c>
      <c r="P16" s="137"/>
    </row>
    <row r="17" spans="1:16" ht="17.25" customHeight="1">
      <c r="A17" s="121">
        <f t="shared" si="2"/>
        <v>5</v>
      </c>
      <c r="B17" s="120"/>
      <c r="C17" s="121">
        <v>1</v>
      </c>
      <c r="D17" s="120">
        <v>650</v>
      </c>
      <c r="E17" s="120">
        <v>200</v>
      </c>
      <c r="F17" s="120"/>
      <c r="G17" s="120"/>
      <c r="H17" s="121">
        <v>592</v>
      </c>
      <c r="I17" s="134" t="s">
        <v>45</v>
      </c>
      <c r="J17" s="135">
        <f t="shared" si="3"/>
        <v>1.0064</v>
      </c>
      <c r="K17" s="135" t="str">
        <f t="shared" si="4"/>
        <v/>
      </c>
      <c r="L17" s="136" t="str">
        <f t="shared" si="5"/>
        <v/>
      </c>
      <c r="M17" s="136" t="str">
        <f t="shared" si="6"/>
        <v/>
      </c>
      <c r="N17" s="174" t="str">
        <f t="shared" si="7"/>
        <v>T</v>
      </c>
      <c r="O17" s="135">
        <f t="shared" si="1"/>
        <v>1.049024</v>
      </c>
      <c r="P17" s="137"/>
    </row>
    <row r="18" spans="1:16" ht="15.75" customHeight="1">
      <c r="A18" s="117"/>
      <c r="B18" s="118" t="s">
        <v>46</v>
      </c>
      <c r="C18" s="117"/>
      <c r="D18" s="119"/>
      <c r="E18" s="119"/>
      <c r="F18" s="119"/>
      <c r="G18" s="119"/>
      <c r="H18" s="117"/>
      <c r="I18" s="130"/>
      <c r="J18" s="131"/>
      <c r="K18" s="131"/>
      <c r="L18" s="132"/>
      <c r="M18" s="132"/>
      <c r="N18" s="132"/>
      <c r="O18" s="131"/>
      <c r="P18" s="133"/>
    </row>
    <row r="19" spans="1:16" ht="17.25" customHeight="1">
      <c r="A19" s="121">
        <v>1</v>
      </c>
      <c r="B19" s="120"/>
      <c r="C19" s="121">
        <v>1</v>
      </c>
      <c r="D19" s="121">
        <v>550</v>
      </c>
      <c r="E19" s="121">
        <v>250</v>
      </c>
      <c r="F19" s="121"/>
      <c r="G19" s="121"/>
      <c r="H19" s="121">
        <v>645</v>
      </c>
      <c r="I19" s="134" t="s">
        <v>45</v>
      </c>
      <c r="J19" s="135">
        <f>IF(MAX($D19:$G19)&lt;=750,IF($C19=2,SUM($D19:$G19)*$H19/1000000,IF($C19=3,(2*($D19+$E19)*3.143*((150+$D19/2)/4)*2)/1000000,IF($C19=4,((2*($D19+$E19)*3.143*((150+$D19/2)/4)*2)/1000000)/2,IF($C19=5,SUM($D19:$G19)*2*3.143*((150+($D19+$F19)/4)/4)/1000000,IF($C19=6,$D19*$E19/1000000,2*($D19+$E19)*$H19/1000000))))),"")</f>
        <v>1.032</v>
      </c>
      <c r="K19" s="135" t="str">
        <f>IF(MAX($D19:$G19)&gt;=751,IF(MAX($D19:$G19)&lt;=1500,IF($C19=2,SUM($D19:$G19)*$H19/1000000,IF($C19=3,(2*($D19+$E19)*3.143*((150+$D19/2)/4)*2)/1000000,IF($C19=4,((2*($D19+$E19)*3.143*((150+$D19/2)/4)*2)/1000000)/2,IF($C19=5,SUM($D19:$G19)*2*3.143*((150+($D19+$F19)/4)/4)/1000000,IF($C19=6,$D19*$E19/1000000,2*($D19+$E19)*$H19/1000000))))),""),"")</f>
        <v/>
      </c>
      <c r="L19" s="136" t="str">
        <f>IF(MAX($D19:$G19)&gt;1501,IF(MAX($D19:$G19)&lt;=2250,IF($C19=2,SUM($D19:$G19)*$H19/1000000,IF($C19=3,(2*($D19+$E19)*3.143*((150+$D19/2)/4)*2)/1000000,IF($C19=4,((2*($D19+$E19)*3.143*((150+$D19/2)/4)*2)/1000000)/2,IF($C19=5,SUM($D19:$G19)*2*3.143*((150+($D19+$F19)/4)/4)/1000000,IF($C19=6,$D19*$E19/1000000,2*($D19+$E19)*$H19/1000000))))),""),"")</f>
        <v/>
      </c>
      <c r="M19" s="136" t="str">
        <f>IF(MAX($D19:$G19)&gt;2251,IF($C19=2,SUM($D19:$G19)*$H19/1000000,IF($C19=3,(2*($D19+$E19)*3.143*((150+$D19/2)/4)*2)/1000000,IF($C19=4,((2*($D19+$E19)*3.143*((150+$D19/2)/4)*2)/1000000)/2,IF($C19=5,SUM($D19:$G19)*2*3.143*((150+($D19+$F19)/4)/4)/1000000,IF($C19=6,$D19*$E19/1000000,2*($D19+$E19)*$H19/1000000))))),"")</f>
        <v/>
      </c>
      <c r="N19" s="174" t="str">
        <f>IF($I19="A",IF($C19=2,SUM($D19:$G19)*$H19/1000000,IF($C19=3,(2*($D19+$E19)*3.143*((150+$D19/2)/4)*2)/1000000,IF($C19=4,((2*($D19+$E19)*3.143*((150+$D19/2)/4)*2)/1000000)/2,IF($C19=5,SUM($D19:$G19)*2*3.143*((150+($D19+$F19)/4)/4)/1000000,IF($C19=6,$D19*$E19/1000000,2*($D19+$E19)*$H19/1000000))))),"T")</f>
        <v>T</v>
      </c>
      <c r="O19" s="135">
        <f>IF($I19="T",IF($C19=2,($D19+$E19+$F19+$G19+(8*$O$9))*$H19/1000000,IF($C19=3,(2*($D19+$E19+(4*$O$9))*3.143*((150+($D19/2))/4)*2)/1000000,IF($C19=4,(2*($D19+$E19)+(4*$O$9))*3.143*((150+$D19/2)/4)/1000000,IF($C19=5,(($D19+$E19+$F19+$G19)+(8*$O$9))*2*3.143*((150+($D19+$F19)/4)/4)/1000000,IF($C19=6,($D19+(2*$O$9))*($E19+(2*$O$9))/1000000,2*($D19+$E19+(4*$O$9))*$H19/1000000))))),"")</f>
        <v>1.0784400000000001</v>
      </c>
      <c r="P19" s="121"/>
    </row>
    <row r="20" spans="1:16" ht="17.25" customHeight="1">
      <c r="A20" s="121">
        <f t="shared" ref="A20:A67" si="8">A19+1</f>
        <v>2</v>
      </c>
      <c r="B20" s="120"/>
      <c r="C20" s="121">
        <v>1</v>
      </c>
      <c r="D20" s="121">
        <v>550</v>
      </c>
      <c r="E20" s="121">
        <v>250</v>
      </c>
      <c r="F20" s="121"/>
      <c r="G20" s="121"/>
      <c r="H20" s="121">
        <v>8605</v>
      </c>
      <c r="I20" s="134" t="s">
        <v>45</v>
      </c>
      <c r="J20" s="135">
        <f t="shared" si="3"/>
        <v>13.768000000000001</v>
      </c>
      <c r="K20" s="135" t="str">
        <f t="shared" si="4"/>
        <v/>
      </c>
      <c r="L20" s="136" t="str">
        <f t="shared" si="5"/>
        <v/>
      </c>
      <c r="M20" s="136" t="str">
        <f t="shared" si="6"/>
        <v/>
      </c>
      <c r="N20" s="174" t="str">
        <f t="shared" si="7"/>
        <v>T</v>
      </c>
      <c r="O20" s="135">
        <f t="shared" si="1"/>
        <v>14.387560000000001</v>
      </c>
      <c r="P20" s="121"/>
    </row>
    <row r="21" spans="1:16" ht="17.25" customHeight="1">
      <c r="A21" s="121">
        <f t="shared" si="8"/>
        <v>3</v>
      </c>
      <c r="B21" s="120"/>
      <c r="C21" s="121">
        <v>2</v>
      </c>
      <c r="D21" s="121">
        <v>550</v>
      </c>
      <c r="E21" s="121">
        <v>250</v>
      </c>
      <c r="F21" s="121">
        <v>400</v>
      </c>
      <c r="G21" s="121">
        <v>250</v>
      </c>
      <c r="H21" s="121">
        <v>392</v>
      </c>
      <c r="I21" s="134" t="s">
        <v>45</v>
      </c>
      <c r="J21" s="135">
        <f t="shared" si="3"/>
        <v>0.56840000000000002</v>
      </c>
      <c r="K21" s="135" t="str">
        <f t="shared" si="4"/>
        <v/>
      </c>
      <c r="L21" s="136" t="str">
        <f t="shared" si="5"/>
        <v/>
      </c>
      <c r="M21" s="136" t="str">
        <f t="shared" si="6"/>
        <v/>
      </c>
      <c r="N21" s="174" t="str">
        <f t="shared" si="7"/>
        <v>T</v>
      </c>
      <c r="O21" s="135">
        <f t="shared" si="1"/>
        <v>0.59662400000000004</v>
      </c>
      <c r="P21" s="121"/>
    </row>
    <row r="22" spans="1:16" ht="17.25" customHeight="1">
      <c r="A22" s="121">
        <f t="shared" si="8"/>
        <v>4</v>
      </c>
      <c r="B22" s="120"/>
      <c r="C22" s="121">
        <v>1</v>
      </c>
      <c r="D22" s="121">
        <v>400</v>
      </c>
      <c r="E22" s="121">
        <v>250</v>
      </c>
      <c r="F22" s="121"/>
      <c r="G22" s="121"/>
      <c r="H22" s="121">
        <v>3451</v>
      </c>
      <c r="I22" s="134" t="s">
        <v>45</v>
      </c>
      <c r="J22" s="135">
        <f t="shared" si="3"/>
        <v>4.4863</v>
      </c>
      <c r="K22" s="135" t="str">
        <f t="shared" si="4"/>
        <v/>
      </c>
      <c r="L22" s="136" t="str">
        <f t="shared" si="5"/>
        <v/>
      </c>
      <c r="M22" s="136" t="str">
        <f t="shared" si="6"/>
        <v/>
      </c>
      <c r="N22" s="174" t="str">
        <f t="shared" si="7"/>
        <v>T</v>
      </c>
      <c r="O22" s="135">
        <f t="shared" si="1"/>
        <v>4.7347720000000004</v>
      </c>
      <c r="P22" s="137"/>
    </row>
    <row r="23" spans="1:16" ht="17.25" customHeight="1">
      <c r="A23" s="121">
        <f t="shared" si="8"/>
        <v>5</v>
      </c>
      <c r="B23" s="120"/>
      <c r="C23" s="121">
        <v>2</v>
      </c>
      <c r="D23" s="121">
        <v>400</v>
      </c>
      <c r="E23" s="121">
        <v>250</v>
      </c>
      <c r="F23" s="121">
        <v>400</v>
      </c>
      <c r="G23" s="121">
        <v>200</v>
      </c>
      <c r="H23" s="121">
        <v>171</v>
      </c>
      <c r="I23" s="134" t="s">
        <v>45</v>
      </c>
      <c r="J23" s="135">
        <f t="shared" si="3"/>
        <v>0.21375</v>
      </c>
      <c r="K23" s="135" t="str">
        <f t="shared" si="4"/>
        <v/>
      </c>
      <c r="L23" s="136" t="str">
        <f t="shared" si="5"/>
        <v/>
      </c>
      <c r="M23" s="136" t="str">
        <f t="shared" si="6"/>
        <v/>
      </c>
      <c r="N23" s="174" t="str">
        <f t="shared" si="7"/>
        <v>T</v>
      </c>
      <c r="O23" s="135">
        <f t="shared" si="1"/>
        <v>0.22606200000000001</v>
      </c>
      <c r="P23" s="137"/>
    </row>
    <row r="24" spans="1:16" ht="17.25" customHeight="1">
      <c r="A24" s="121">
        <f t="shared" si="8"/>
        <v>6</v>
      </c>
      <c r="B24" s="120"/>
      <c r="C24" s="121">
        <v>1</v>
      </c>
      <c r="D24" s="121">
        <v>400</v>
      </c>
      <c r="E24" s="121">
        <v>200</v>
      </c>
      <c r="F24" s="121"/>
      <c r="G24" s="121"/>
      <c r="H24" s="121">
        <v>2462</v>
      </c>
      <c r="I24" s="134" t="s">
        <v>45</v>
      </c>
      <c r="J24" s="135">
        <f t="shared" si="3"/>
        <v>2.9544000000000001</v>
      </c>
      <c r="K24" s="135" t="str">
        <f t="shared" si="4"/>
        <v/>
      </c>
      <c r="L24" s="136" t="str">
        <f t="shared" si="5"/>
        <v/>
      </c>
      <c r="M24" s="136" t="str">
        <f t="shared" si="6"/>
        <v/>
      </c>
      <c r="N24" s="174" t="str">
        <f t="shared" si="7"/>
        <v>T</v>
      </c>
      <c r="O24" s="135">
        <f t="shared" si="1"/>
        <v>3.1316639999999998</v>
      </c>
      <c r="P24" s="137"/>
    </row>
    <row r="25" spans="1:16" ht="17.25" customHeight="1">
      <c r="A25" s="121">
        <f t="shared" si="8"/>
        <v>7</v>
      </c>
      <c r="B25" s="120"/>
      <c r="C25" s="121">
        <v>3</v>
      </c>
      <c r="D25" s="121">
        <v>400</v>
      </c>
      <c r="E25" s="121">
        <v>200</v>
      </c>
      <c r="F25" s="121"/>
      <c r="G25" s="121"/>
      <c r="H25" s="121"/>
      <c r="I25" s="134" t="s">
        <v>45</v>
      </c>
      <c r="J25" s="135">
        <f t="shared" si="3"/>
        <v>0.66003000000000001</v>
      </c>
      <c r="K25" s="135" t="str">
        <f t="shared" si="4"/>
        <v/>
      </c>
      <c r="L25" s="136" t="str">
        <f t="shared" si="5"/>
        <v/>
      </c>
      <c r="M25" s="136" t="str">
        <f t="shared" si="6"/>
        <v/>
      </c>
      <c r="N25" s="174" t="str">
        <f t="shared" si="7"/>
        <v>T</v>
      </c>
      <c r="O25" s="135">
        <f t="shared" si="1"/>
        <v>0.69963179999999991</v>
      </c>
      <c r="P25" s="137"/>
    </row>
    <row r="26" spans="1:16" ht="17.25" customHeight="1">
      <c r="A26" s="121">
        <f t="shared" si="8"/>
        <v>8</v>
      </c>
      <c r="B26" s="120"/>
      <c r="C26" s="121">
        <v>1</v>
      </c>
      <c r="D26" s="121">
        <v>400</v>
      </c>
      <c r="E26" s="121">
        <v>200</v>
      </c>
      <c r="F26" s="121"/>
      <c r="G26" s="121"/>
      <c r="H26" s="121">
        <v>66</v>
      </c>
      <c r="I26" s="134" t="s">
        <v>45</v>
      </c>
      <c r="J26" s="135">
        <f t="shared" si="3"/>
        <v>7.9200000000000007E-2</v>
      </c>
      <c r="K26" s="135" t="str">
        <f t="shared" si="4"/>
        <v/>
      </c>
      <c r="L26" s="136" t="str">
        <f t="shared" si="5"/>
        <v/>
      </c>
      <c r="M26" s="136" t="str">
        <f t="shared" si="6"/>
        <v/>
      </c>
      <c r="N26" s="174" t="str">
        <f t="shared" si="7"/>
        <v>T</v>
      </c>
      <c r="O26" s="135">
        <f t="shared" si="1"/>
        <v>8.3951999999999999E-2</v>
      </c>
      <c r="P26" s="137"/>
    </row>
    <row r="27" spans="1:16" ht="17.25" customHeight="1">
      <c r="A27" s="121">
        <f t="shared" si="8"/>
        <v>9</v>
      </c>
      <c r="B27" s="120"/>
      <c r="C27" s="121">
        <v>2</v>
      </c>
      <c r="D27" s="121">
        <v>400</v>
      </c>
      <c r="E27" s="121">
        <v>200</v>
      </c>
      <c r="F27" s="121">
        <v>400</v>
      </c>
      <c r="G27" s="121">
        <v>150</v>
      </c>
      <c r="H27" s="121">
        <v>149</v>
      </c>
      <c r="I27" s="134" t="s">
        <v>45</v>
      </c>
      <c r="J27" s="135">
        <f t="shared" si="3"/>
        <v>0.17135</v>
      </c>
      <c r="K27" s="135" t="str">
        <f t="shared" si="4"/>
        <v/>
      </c>
      <c r="L27" s="136" t="str">
        <f t="shared" si="5"/>
        <v/>
      </c>
      <c r="M27" s="136" t="str">
        <f t="shared" si="6"/>
        <v/>
      </c>
      <c r="N27" s="174" t="str">
        <f t="shared" si="7"/>
        <v>T</v>
      </c>
      <c r="O27" s="135">
        <f t="shared" si="1"/>
        <v>0.18207799999999999</v>
      </c>
      <c r="P27" s="137"/>
    </row>
    <row r="28" spans="1:16" ht="17.25" customHeight="1">
      <c r="A28" s="121">
        <f t="shared" si="8"/>
        <v>10</v>
      </c>
      <c r="B28" s="120"/>
      <c r="C28" s="121">
        <v>1</v>
      </c>
      <c r="D28" s="121">
        <v>400</v>
      </c>
      <c r="E28" s="121">
        <v>150</v>
      </c>
      <c r="F28" s="121"/>
      <c r="G28" s="121"/>
      <c r="H28" s="121">
        <v>1535</v>
      </c>
      <c r="I28" s="134" t="s">
        <v>45</v>
      </c>
      <c r="J28" s="135">
        <f t="shared" si="3"/>
        <v>1.6884999999999999</v>
      </c>
      <c r="K28" s="135" t="str">
        <f t="shared" si="4"/>
        <v/>
      </c>
      <c r="L28" s="136" t="str">
        <f t="shared" si="5"/>
        <v/>
      </c>
      <c r="M28" s="136" t="str">
        <f t="shared" si="6"/>
        <v/>
      </c>
      <c r="N28" s="174" t="str">
        <f t="shared" si="7"/>
        <v>T</v>
      </c>
      <c r="O28" s="135">
        <f t="shared" si="1"/>
        <v>1.7990200000000001</v>
      </c>
      <c r="P28" s="137"/>
    </row>
    <row r="29" spans="1:16" ht="17.25" customHeight="1">
      <c r="A29" s="121">
        <f t="shared" si="8"/>
        <v>11</v>
      </c>
      <c r="B29" s="120"/>
      <c r="C29" s="121">
        <v>3</v>
      </c>
      <c r="D29" s="121">
        <v>400</v>
      </c>
      <c r="E29" s="121">
        <v>150</v>
      </c>
      <c r="F29" s="121"/>
      <c r="G29" s="121"/>
      <c r="H29" s="121"/>
      <c r="I29" s="134" t="s">
        <v>45</v>
      </c>
      <c r="J29" s="135">
        <f t="shared" si="3"/>
        <v>0.60502750000000005</v>
      </c>
      <c r="K29" s="135" t="str">
        <f t="shared" si="4"/>
        <v/>
      </c>
      <c r="L29" s="136" t="str">
        <f t="shared" si="5"/>
        <v/>
      </c>
      <c r="M29" s="136" t="str">
        <f t="shared" si="6"/>
        <v/>
      </c>
      <c r="N29" s="174" t="str">
        <f t="shared" si="7"/>
        <v>T</v>
      </c>
      <c r="O29" s="135">
        <f t="shared" si="1"/>
        <v>0.64462929999999996</v>
      </c>
      <c r="P29" s="137"/>
    </row>
    <row r="30" spans="1:16" ht="17.25" customHeight="1">
      <c r="A30" s="121">
        <f t="shared" si="8"/>
        <v>12</v>
      </c>
      <c r="B30" s="120"/>
      <c r="C30" s="121">
        <v>1</v>
      </c>
      <c r="D30" s="121">
        <v>400</v>
      </c>
      <c r="E30" s="121">
        <v>150</v>
      </c>
      <c r="F30" s="121"/>
      <c r="G30" s="121"/>
      <c r="H30" s="121">
        <v>3273</v>
      </c>
      <c r="I30" s="134" t="s">
        <v>45</v>
      </c>
      <c r="J30" s="135">
        <f t="shared" si="3"/>
        <v>3.6002999999999998</v>
      </c>
      <c r="K30" s="135" t="str">
        <f t="shared" si="4"/>
        <v/>
      </c>
      <c r="L30" s="136" t="str">
        <f t="shared" si="5"/>
        <v/>
      </c>
      <c r="M30" s="136" t="str">
        <f t="shared" si="6"/>
        <v/>
      </c>
      <c r="N30" s="174" t="str">
        <f t="shared" si="7"/>
        <v>T</v>
      </c>
      <c r="O30" s="135">
        <f t="shared" si="1"/>
        <v>3.8359559999999999</v>
      </c>
      <c r="P30" s="137"/>
    </row>
    <row r="31" spans="1:16" ht="17.25" customHeight="1">
      <c r="A31" s="121">
        <f t="shared" si="8"/>
        <v>13</v>
      </c>
      <c r="B31" s="120"/>
      <c r="C31" s="121">
        <v>1</v>
      </c>
      <c r="D31" s="121">
        <v>400</v>
      </c>
      <c r="E31" s="121">
        <v>150</v>
      </c>
      <c r="F31" s="121"/>
      <c r="G31" s="121"/>
      <c r="H31" s="121">
        <v>1300</v>
      </c>
      <c r="I31" s="134" t="s">
        <v>45</v>
      </c>
      <c r="J31" s="135">
        <f t="shared" si="3"/>
        <v>1.43</v>
      </c>
      <c r="K31" s="135" t="str">
        <f t="shared" si="4"/>
        <v/>
      </c>
      <c r="L31" s="136" t="str">
        <f t="shared" si="5"/>
        <v/>
      </c>
      <c r="M31" s="136" t="str">
        <f t="shared" si="6"/>
        <v/>
      </c>
      <c r="N31" s="174" t="str">
        <f t="shared" si="7"/>
        <v>T</v>
      </c>
      <c r="O31" s="135">
        <f t="shared" si="1"/>
        <v>1.5236000000000001</v>
      </c>
      <c r="P31" s="137"/>
    </row>
    <row r="32" spans="1:16" ht="17.25" customHeight="1">
      <c r="A32" s="121">
        <f t="shared" si="8"/>
        <v>14</v>
      </c>
      <c r="B32" s="120"/>
      <c r="C32" s="121">
        <v>3</v>
      </c>
      <c r="D32" s="121">
        <v>400</v>
      </c>
      <c r="E32" s="121">
        <v>150</v>
      </c>
      <c r="F32" s="121"/>
      <c r="G32" s="121"/>
      <c r="H32" s="121"/>
      <c r="I32" s="134" t="s">
        <v>45</v>
      </c>
      <c r="J32" s="135">
        <f t="shared" si="3"/>
        <v>0.60502750000000005</v>
      </c>
      <c r="K32" s="135" t="str">
        <f t="shared" si="4"/>
        <v/>
      </c>
      <c r="L32" s="136" t="str">
        <f t="shared" si="5"/>
        <v/>
      </c>
      <c r="M32" s="136" t="str">
        <f t="shared" si="6"/>
        <v/>
      </c>
      <c r="N32" s="174" t="str">
        <f t="shared" si="7"/>
        <v>T</v>
      </c>
      <c r="O32" s="135">
        <f t="shared" si="1"/>
        <v>0.64462929999999996</v>
      </c>
      <c r="P32" s="137"/>
    </row>
    <row r="33" spans="1:16" ht="17.25" customHeight="1">
      <c r="A33" s="121">
        <f t="shared" si="8"/>
        <v>15</v>
      </c>
      <c r="B33" s="120"/>
      <c r="C33" s="121">
        <v>1</v>
      </c>
      <c r="D33" s="121">
        <v>400</v>
      </c>
      <c r="E33" s="121">
        <v>150</v>
      </c>
      <c r="F33" s="121"/>
      <c r="G33" s="121"/>
      <c r="H33" s="121">
        <v>625</v>
      </c>
      <c r="I33" s="134" t="s">
        <v>45</v>
      </c>
      <c r="J33" s="135">
        <f t="shared" si="3"/>
        <v>0.6875</v>
      </c>
      <c r="K33" s="135" t="str">
        <f t="shared" si="4"/>
        <v/>
      </c>
      <c r="L33" s="136" t="str">
        <f t="shared" si="5"/>
        <v/>
      </c>
      <c r="M33" s="136" t="str">
        <f t="shared" si="6"/>
        <v/>
      </c>
      <c r="N33" s="174" t="str">
        <f t="shared" si="7"/>
        <v>T</v>
      </c>
      <c r="O33" s="135">
        <f t="shared" si="1"/>
        <v>0.73250000000000004</v>
      </c>
      <c r="P33" s="137"/>
    </row>
    <row r="34" spans="1:16" ht="17.25" customHeight="1">
      <c r="A34" s="121">
        <f t="shared" si="8"/>
        <v>16</v>
      </c>
      <c r="B34" s="120"/>
      <c r="C34" s="121">
        <v>1</v>
      </c>
      <c r="D34" s="121">
        <v>350</v>
      </c>
      <c r="E34" s="121">
        <v>100</v>
      </c>
      <c r="F34" s="121"/>
      <c r="G34" s="121"/>
      <c r="H34" s="121">
        <v>695</v>
      </c>
      <c r="I34" s="134" t="s">
        <v>45</v>
      </c>
      <c r="J34" s="135">
        <f t="shared" si="3"/>
        <v>0.62549999999999994</v>
      </c>
      <c r="K34" s="135" t="str">
        <f t="shared" si="4"/>
        <v/>
      </c>
      <c r="L34" s="136" t="str">
        <f t="shared" si="5"/>
        <v/>
      </c>
      <c r="M34" s="136" t="str">
        <f t="shared" si="6"/>
        <v/>
      </c>
      <c r="N34" s="174" t="str">
        <f t="shared" si="7"/>
        <v>T</v>
      </c>
      <c r="O34" s="135">
        <f t="shared" si="1"/>
        <v>0.67554000000000003</v>
      </c>
      <c r="P34" s="137"/>
    </row>
    <row r="35" spans="1:16" ht="17.25" customHeight="1">
      <c r="A35" s="121">
        <f t="shared" si="8"/>
        <v>17</v>
      </c>
      <c r="B35" s="120"/>
      <c r="C35" s="121">
        <v>1</v>
      </c>
      <c r="D35" s="121">
        <v>400</v>
      </c>
      <c r="E35" s="121">
        <v>100</v>
      </c>
      <c r="F35" s="121"/>
      <c r="G35" s="121"/>
      <c r="H35" s="121">
        <v>890</v>
      </c>
      <c r="I35" s="134" t="s">
        <v>45</v>
      </c>
      <c r="J35" s="135">
        <f t="shared" si="3"/>
        <v>0.89</v>
      </c>
      <c r="K35" s="135" t="str">
        <f t="shared" si="4"/>
        <v/>
      </c>
      <c r="L35" s="136" t="str">
        <f t="shared" si="5"/>
        <v/>
      </c>
      <c r="M35" s="136" t="str">
        <f t="shared" si="6"/>
        <v/>
      </c>
      <c r="N35" s="174" t="str">
        <f t="shared" si="7"/>
        <v>T</v>
      </c>
      <c r="O35" s="135">
        <f t="shared" si="1"/>
        <v>0.95408000000000004</v>
      </c>
      <c r="P35" s="137"/>
    </row>
    <row r="36" spans="1:16" ht="15.75" customHeight="1">
      <c r="A36" s="117"/>
      <c r="B36" s="118" t="s">
        <v>47</v>
      </c>
      <c r="C36" s="117"/>
      <c r="D36" s="119"/>
      <c r="E36" s="119"/>
      <c r="F36" s="119"/>
      <c r="G36" s="119"/>
      <c r="H36" s="117"/>
      <c r="I36" s="130" t="s">
        <v>45</v>
      </c>
      <c r="J36" s="131">
        <f t="shared" si="3"/>
        <v>0</v>
      </c>
      <c r="K36" s="131" t="str">
        <f t="shared" si="4"/>
        <v/>
      </c>
      <c r="L36" s="132" t="str">
        <f t="shared" si="5"/>
        <v/>
      </c>
      <c r="M36" s="132" t="str">
        <f t="shared" si="6"/>
        <v/>
      </c>
      <c r="N36" s="175" t="str">
        <f t="shared" si="7"/>
        <v>T</v>
      </c>
      <c r="O36" s="131">
        <f t="shared" si="1"/>
        <v>0</v>
      </c>
      <c r="P36" s="133"/>
    </row>
    <row r="37" spans="1:16" ht="17.25" customHeight="1">
      <c r="A37" s="121">
        <f t="shared" si="8"/>
        <v>1</v>
      </c>
      <c r="B37" s="120" t="s">
        <v>48</v>
      </c>
      <c r="C37" s="121"/>
      <c r="D37" s="121"/>
      <c r="E37" s="121"/>
      <c r="F37" s="121"/>
      <c r="G37" s="121"/>
      <c r="H37" s="121"/>
      <c r="I37" s="134" t="s">
        <v>45</v>
      </c>
      <c r="J37" s="135">
        <f t="shared" si="3"/>
        <v>0</v>
      </c>
      <c r="K37" s="135" t="str">
        <f t="shared" si="4"/>
        <v/>
      </c>
      <c r="L37" s="136" t="str">
        <f t="shared" si="5"/>
        <v/>
      </c>
      <c r="M37" s="136" t="str">
        <f t="shared" si="6"/>
        <v/>
      </c>
      <c r="N37" s="174" t="str">
        <f t="shared" si="7"/>
        <v>T</v>
      </c>
      <c r="O37" s="135">
        <f t="shared" si="1"/>
        <v>0</v>
      </c>
      <c r="P37" s="137"/>
    </row>
    <row r="38" spans="1:16" ht="17.25" customHeight="1">
      <c r="A38" s="121">
        <f t="shared" si="8"/>
        <v>2</v>
      </c>
      <c r="B38" s="120"/>
      <c r="C38" s="121">
        <v>1</v>
      </c>
      <c r="D38" s="121">
        <v>650</v>
      </c>
      <c r="E38" s="121">
        <v>200</v>
      </c>
      <c r="F38" s="121"/>
      <c r="G38" s="121"/>
      <c r="H38" s="121">
        <v>195</v>
      </c>
      <c r="I38" s="134" t="s">
        <v>45</v>
      </c>
      <c r="J38" s="135">
        <f t="shared" si="3"/>
        <v>0.33150000000000002</v>
      </c>
      <c r="K38" s="135" t="str">
        <f t="shared" si="4"/>
        <v/>
      </c>
      <c r="L38" s="136" t="str">
        <f t="shared" si="5"/>
        <v/>
      </c>
      <c r="M38" s="136" t="str">
        <f t="shared" si="6"/>
        <v/>
      </c>
      <c r="N38" s="174" t="str">
        <f t="shared" si="7"/>
        <v>T</v>
      </c>
      <c r="O38" s="135">
        <f t="shared" si="1"/>
        <v>0.34554000000000001</v>
      </c>
      <c r="P38" s="137"/>
    </row>
    <row r="39" spans="1:16" ht="17.25" customHeight="1">
      <c r="A39" s="121">
        <f t="shared" si="8"/>
        <v>3</v>
      </c>
      <c r="B39" s="120"/>
      <c r="C39" s="121">
        <v>3</v>
      </c>
      <c r="D39" s="121">
        <v>650</v>
      </c>
      <c r="E39" s="121">
        <v>200</v>
      </c>
      <c r="F39" s="121"/>
      <c r="G39" s="121"/>
      <c r="H39" s="121"/>
      <c r="I39" s="134" t="s">
        <v>45</v>
      </c>
      <c r="J39" s="135">
        <f t="shared" si="3"/>
        <v>1.2689862499999998</v>
      </c>
      <c r="K39" s="135" t="str">
        <f t="shared" si="4"/>
        <v/>
      </c>
      <c r="L39" s="136" t="str">
        <f t="shared" si="5"/>
        <v/>
      </c>
      <c r="M39" s="136" t="str">
        <f t="shared" si="6"/>
        <v/>
      </c>
      <c r="N39" s="174" t="str">
        <f t="shared" si="7"/>
        <v>T</v>
      </c>
      <c r="O39" s="135">
        <f t="shared" si="1"/>
        <v>1.3227315500000001</v>
      </c>
      <c r="P39" s="137"/>
    </row>
    <row r="40" spans="1:16" ht="17.25" customHeight="1">
      <c r="A40" s="121">
        <f t="shared" si="8"/>
        <v>4</v>
      </c>
      <c r="B40" s="120"/>
      <c r="C40" s="121">
        <v>1</v>
      </c>
      <c r="D40" s="121">
        <v>650</v>
      </c>
      <c r="E40" s="121">
        <v>200</v>
      </c>
      <c r="F40" s="121"/>
      <c r="G40" s="121"/>
      <c r="H40" s="121">
        <v>665</v>
      </c>
      <c r="I40" s="134" t="s">
        <v>45</v>
      </c>
      <c r="J40" s="135">
        <f t="shared" si="3"/>
        <v>1.1305000000000001</v>
      </c>
      <c r="K40" s="135" t="str">
        <f t="shared" si="4"/>
        <v/>
      </c>
      <c r="L40" s="136" t="str">
        <f t="shared" si="5"/>
        <v/>
      </c>
      <c r="M40" s="136" t="str">
        <f t="shared" si="6"/>
        <v/>
      </c>
      <c r="N40" s="174" t="str">
        <f t="shared" si="7"/>
        <v>T</v>
      </c>
      <c r="O40" s="135">
        <f t="shared" si="1"/>
        <v>1.17838</v>
      </c>
      <c r="P40" s="137"/>
    </row>
    <row r="41" spans="1:16" ht="17.25" customHeight="1">
      <c r="A41" s="121">
        <f t="shared" si="8"/>
        <v>5</v>
      </c>
      <c r="B41" s="120"/>
      <c r="C41" s="121">
        <v>1</v>
      </c>
      <c r="D41" s="121">
        <v>650</v>
      </c>
      <c r="E41" s="121">
        <v>200</v>
      </c>
      <c r="F41" s="121"/>
      <c r="G41" s="121"/>
      <c r="H41" s="121">
        <v>700</v>
      </c>
      <c r="I41" s="134" t="s">
        <v>45</v>
      </c>
      <c r="J41" s="135">
        <f t="shared" si="3"/>
        <v>1.19</v>
      </c>
      <c r="K41" s="135" t="str">
        <f t="shared" si="4"/>
        <v/>
      </c>
      <c r="L41" s="136" t="str">
        <f t="shared" si="5"/>
        <v/>
      </c>
      <c r="M41" s="136" t="str">
        <f t="shared" si="6"/>
        <v/>
      </c>
      <c r="N41" s="174" t="str">
        <f t="shared" si="7"/>
        <v>T</v>
      </c>
      <c r="O41" s="135">
        <f t="shared" si="1"/>
        <v>1.2403999999999999</v>
      </c>
      <c r="P41" s="137"/>
    </row>
    <row r="42" spans="1:16" ht="17.25" customHeight="1">
      <c r="A42" s="121">
        <f t="shared" si="8"/>
        <v>6</v>
      </c>
      <c r="B42" s="120"/>
      <c r="C42" s="121">
        <v>2</v>
      </c>
      <c r="D42" s="121">
        <v>650</v>
      </c>
      <c r="E42" s="121">
        <v>200</v>
      </c>
      <c r="F42" s="121">
        <v>550</v>
      </c>
      <c r="G42" s="121">
        <v>200</v>
      </c>
      <c r="H42" s="121">
        <v>131</v>
      </c>
      <c r="I42" s="134" t="s">
        <v>45</v>
      </c>
      <c r="J42" s="135">
        <f t="shared" si="3"/>
        <v>0.20960000000000001</v>
      </c>
      <c r="K42" s="135" t="str">
        <f t="shared" si="4"/>
        <v/>
      </c>
      <c r="L42" s="136" t="str">
        <f t="shared" si="5"/>
        <v/>
      </c>
      <c r="M42" s="136" t="str">
        <f t="shared" si="6"/>
        <v/>
      </c>
      <c r="N42" s="174" t="str">
        <f t="shared" si="7"/>
        <v>T</v>
      </c>
      <c r="O42" s="135">
        <f t="shared" si="1"/>
        <v>0.219032</v>
      </c>
      <c r="P42" s="137"/>
    </row>
    <row r="43" spans="1:16" ht="17.25" customHeight="1">
      <c r="A43" s="121">
        <f t="shared" si="8"/>
        <v>7</v>
      </c>
      <c r="B43" s="120"/>
      <c r="C43" s="121">
        <v>1</v>
      </c>
      <c r="D43" s="121">
        <v>550</v>
      </c>
      <c r="E43" s="121">
        <v>200</v>
      </c>
      <c r="F43" s="121"/>
      <c r="G43" s="121"/>
      <c r="H43" s="121">
        <v>1770</v>
      </c>
      <c r="I43" s="134" t="s">
        <v>45</v>
      </c>
      <c r="J43" s="135">
        <f t="shared" si="3"/>
        <v>2.6549999999999998</v>
      </c>
      <c r="K43" s="135" t="str">
        <f t="shared" si="4"/>
        <v/>
      </c>
      <c r="L43" s="136" t="str">
        <f t="shared" si="5"/>
        <v/>
      </c>
      <c r="M43" s="136" t="str">
        <f t="shared" si="6"/>
        <v/>
      </c>
      <c r="N43" s="174" t="str">
        <f t="shared" si="7"/>
        <v>T</v>
      </c>
      <c r="O43" s="135">
        <f t="shared" si="1"/>
        <v>2.7824399999999998</v>
      </c>
      <c r="P43" s="137"/>
    </row>
    <row r="44" spans="1:16" ht="17.25" customHeight="1">
      <c r="A44" s="121">
        <f t="shared" si="8"/>
        <v>8</v>
      </c>
      <c r="B44" s="120"/>
      <c r="C44" s="121">
        <v>3</v>
      </c>
      <c r="D44" s="121">
        <v>400</v>
      </c>
      <c r="E44" s="121">
        <v>200</v>
      </c>
      <c r="F44" s="121"/>
      <c r="G44" s="121"/>
      <c r="H44" s="121"/>
      <c r="I44" s="134" t="s">
        <v>45</v>
      </c>
      <c r="J44" s="135">
        <f t="shared" si="3"/>
        <v>0.66003000000000001</v>
      </c>
      <c r="K44" s="135" t="str">
        <f t="shared" si="4"/>
        <v/>
      </c>
      <c r="L44" s="136" t="str">
        <f t="shared" si="5"/>
        <v/>
      </c>
      <c r="M44" s="136" t="str">
        <f t="shared" si="6"/>
        <v/>
      </c>
      <c r="N44" s="174" t="str">
        <f t="shared" si="7"/>
        <v>T</v>
      </c>
      <c r="O44" s="135">
        <f t="shared" si="1"/>
        <v>0.69963179999999991</v>
      </c>
      <c r="P44" s="137"/>
    </row>
    <row r="45" spans="1:16" ht="17.25" customHeight="1">
      <c r="A45" s="121">
        <f t="shared" si="8"/>
        <v>9</v>
      </c>
      <c r="B45" s="120"/>
      <c r="C45" s="121">
        <v>3</v>
      </c>
      <c r="D45" s="121">
        <v>400</v>
      </c>
      <c r="E45" s="121">
        <v>200</v>
      </c>
      <c r="F45" s="121"/>
      <c r="G45" s="121"/>
      <c r="H45" s="121"/>
      <c r="I45" s="134" t="s">
        <v>45</v>
      </c>
      <c r="J45" s="135">
        <f t="shared" si="3"/>
        <v>0.66003000000000001</v>
      </c>
      <c r="K45" s="135" t="str">
        <f t="shared" si="4"/>
        <v/>
      </c>
      <c r="L45" s="136" t="str">
        <f t="shared" si="5"/>
        <v/>
      </c>
      <c r="M45" s="136" t="str">
        <f t="shared" si="6"/>
        <v/>
      </c>
      <c r="N45" s="174" t="str">
        <f t="shared" si="7"/>
        <v>T</v>
      </c>
      <c r="O45" s="135">
        <f t="shared" si="1"/>
        <v>0.69963179999999991</v>
      </c>
      <c r="P45" s="137"/>
    </row>
    <row r="46" spans="1:16" ht="17.25" customHeight="1">
      <c r="A46" s="121">
        <f t="shared" si="8"/>
        <v>10</v>
      </c>
      <c r="B46" s="120"/>
      <c r="C46" s="121">
        <v>1</v>
      </c>
      <c r="D46" s="121">
        <v>400</v>
      </c>
      <c r="E46" s="121">
        <v>200</v>
      </c>
      <c r="F46" s="121"/>
      <c r="G46" s="121"/>
      <c r="H46" s="121">
        <v>1155</v>
      </c>
      <c r="I46" s="134" t="s">
        <v>45</v>
      </c>
      <c r="J46" s="135">
        <f t="shared" si="3"/>
        <v>1.3859999999999999</v>
      </c>
      <c r="K46" s="135" t="str">
        <f t="shared" si="4"/>
        <v/>
      </c>
      <c r="L46" s="136" t="str">
        <f t="shared" si="5"/>
        <v/>
      </c>
      <c r="M46" s="136" t="str">
        <f t="shared" si="6"/>
        <v/>
      </c>
      <c r="N46" s="174" t="str">
        <f t="shared" si="7"/>
        <v>T</v>
      </c>
      <c r="O46" s="135">
        <f t="shared" si="1"/>
        <v>1.46916</v>
      </c>
      <c r="P46" s="137"/>
    </row>
    <row r="47" spans="1:16" ht="17.25" customHeight="1">
      <c r="A47" s="121">
        <f t="shared" si="8"/>
        <v>11</v>
      </c>
      <c r="B47" s="120"/>
      <c r="C47" s="121">
        <v>2</v>
      </c>
      <c r="D47" s="121">
        <v>400</v>
      </c>
      <c r="E47" s="121">
        <v>200</v>
      </c>
      <c r="F47" s="121">
        <v>350</v>
      </c>
      <c r="G47" s="121">
        <v>150</v>
      </c>
      <c r="H47" s="121">
        <v>131</v>
      </c>
      <c r="I47" s="134" t="s">
        <v>45</v>
      </c>
      <c r="J47" s="135">
        <f t="shared" si="3"/>
        <v>0.14410000000000001</v>
      </c>
      <c r="K47" s="135" t="str">
        <f t="shared" si="4"/>
        <v/>
      </c>
      <c r="L47" s="136" t="str">
        <f t="shared" si="5"/>
        <v/>
      </c>
      <c r="M47" s="136" t="str">
        <f t="shared" si="6"/>
        <v/>
      </c>
      <c r="N47" s="174" t="str">
        <f t="shared" si="7"/>
        <v>T</v>
      </c>
      <c r="O47" s="135">
        <f t="shared" si="1"/>
        <v>0.153532</v>
      </c>
      <c r="P47" s="137"/>
    </row>
    <row r="48" spans="1:16" ht="17.25" customHeight="1">
      <c r="A48" s="121">
        <f t="shared" si="8"/>
        <v>12</v>
      </c>
      <c r="B48" s="120"/>
      <c r="C48" s="121">
        <v>1</v>
      </c>
      <c r="D48" s="121">
        <v>350</v>
      </c>
      <c r="E48" s="121">
        <v>150</v>
      </c>
      <c r="F48" s="121"/>
      <c r="G48" s="121"/>
      <c r="H48" s="121">
        <v>2270</v>
      </c>
      <c r="I48" s="134" t="s">
        <v>45</v>
      </c>
      <c r="J48" s="135">
        <f t="shared" si="3"/>
        <v>2.27</v>
      </c>
      <c r="K48" s="135" t="str">
        <f t="shared" si="4"/>
        <v/>
      </c>
      <c r="L48" s="136" t="str">
        <f t="shared" si="5"/>
        <v/>
      </c>
      <c r="M48" s="136" t="str">
        <f t="shared" si="6"/>
        <v/>
      </c>
      <c r="N48" s="174" t="str">
        <f t="shared" si="7"/>
        <v>T</v>
      </c>
      <c r="O48" s="135">
        <f t="shared" si="1"/>
        <v>2.43344</v>
      </c>
      <c r="P48" s="137"/>
    </row>
    <row r="49" spans="1:16" ht="17.25" customHeight="1">
      <c r="A49" s="121">
        <f t="shared" si="8"/>
        <v>13</v>
      </c>
      <c r="B49" s="120"/>
      <c r="C49" s="121">
        <v>2</v>
      </c>
      <c r="D49" s="121">
        <v>350</v>
      </c>
      <c r="E49" s="121">
        <v>150</v>
      </c>
      <c r="F49" s="121">
        <v>150</v>
      </c>
      <c r="G49" s="121">
        <v>150</v>
      </c>
      <c r="H49" s="121">
        <v>250</v>
      </c>
      <c r="I49" s="134" t="s">
        <v>45</v>
      </c>
      <c r="J49" s="135">
        <f t="shared" si="3"/>
        <v>0.2</v>
      </c>
      <c r="K49" s="135" t="str">
        <f t="shared" si="4"/>
        <v/>
      </c>
      <c r="L49" s="136" t="str">
        <f t="shared" si="5"/>
        <v/>
      </c>
      <c r="M49" s="136" t="str">
        <f t="shared" si="6"/>
        <v/>
      </c>
      <c r="N49" s="174" t="str">
        <f t="shared" si="7"/>
        <v>T</v>
      </c>
      <c r="O49" s="135">
        <f t="shared" si="1"/>
        <v>0.218</v>
      </c>
      <c r="P49" s="137"/>
    </row>
    <row r="50" spans="1:16" ht="17.25" customHeight="1">
      <c r="A50" s="121">
        <f t="shared" si="8"/>
        <v>14</v>
      </c>
      <c r="B50" s="120"/>
      <c r="C50" s="121">
        <v>2</v>
      </c>
      <c r="D50" s="121">
        <v>350</v>
      </c>
      <c r="E50" s="121">
        <v>150</v>
      </c>
      <c r="F50" s="121">
        <v>150</v>
      </c>
      <c r="G50" s="121">
        <v>150</v>
      </c>
      <c r="H50" s="121">
        <v>250</v>
      </c>
      <c r="I50" s="134" t="s">
        <v>45</v>
      </c>
      <c r="J50" s="135">
        <f t="shared" si="3"/>
        <v>0.2</v>
      </c>
      <c r="K50" s="135" t="str">
        <f t="shared" si="4"/>
        <v/>
      </c>
      <c r="L50" s="136" t="str">
        <f t="shared" si="5"/>
        <v/>
      </c>
      <c r="M50" s="136" t="str">
        <f t="shared" si="6"/>
        <v/>
      </c>
      <c r="N50" s="174" t="str">
        <f t="shared" si="7"/>
        <v>T</v>
      </c>
      <c r="O50" s="135">
        <f t="shared" si="1"/>
        <v>0.218</v>
      </c>
      <c r="P50" s="137"/>
    </row>
    <row r="51" spans="1:16" ht="17.25" customHeight="1">
      <c r="A51" s="121">
        <f t="shared" si="8"/>
        <v>15</v>
      </c>
      <c r="B51" s="121"/>
      <c r="C51" s="121">
        <v>1</v>
      </c>
      <c r="D51" s="121">
        <v>350</v>
      </c>
      <c r="E51" s="121">
        <v>150</v>
      </c>
      <c r="F51" s="121"/>
      <c r="G51" s="121"/>
      <c r="H51" s="121">
        <v>1300</v>
      </c>
      <c r="I51" s="134" t="s">
        <v>45</v>
      </c>
      <c r="J51" s="135">
        <f t="shared" si="3"/>
        <v>1.3</v>
      </c>
      <c r="K51" s="135" t="str">
        <f t="shared" si="4"/>
        <v/>
      </c>
      <c r="L51" s="136" t="str">
        <f t="shared" si="5"/>
        <v/>
      </c>
      <c r="M51" s="136" t="str">
        <f t="shared" si="6"/>
        <v/>
      </c>
      <c r="N51" s="174" t="str">
        <f t="shared" si="7"/>
        <v>T</v>
      </c>
      <c r="O51" s="135">
        <f t="shared" si="1"/>
        <v>1.3935999999999999</v>
      </c>
      <c r="P51" s="137"/>
    </row>
    <row r="52" spans="1:16" ht="17.25" customHeight="1">
      <c r="A52" s="121">
        <f t="shared" si="8"/>
        <v>16</v>
      </c>
      <c r="B52" s="121"/>
      <c r="C52" s="121">
        <v>2</v>
      </c>
      <c r="D52" s="121">
        <v>550</v>
      </c>
      <c r="E52" s="121">
        <v>150</v>
      </c>
      <c r="F52" s="121">
        <v>450</v>
      </c>
      <c r="G52" s="121">
        <v>150</v>
      </c>
      <c r="H52" s="121">
        <v>146</v>
      </c>
      <c r="I52" s="134" t="s">
        <v>45</v>
      </c>
      <c r="J52" s="135">
        <f t="shared" si="3"/>
        <v>0.1898</v>
      </c>
      <c r="K52" s="135" t="str">
        <f t="shared" si="4"/>
        <v/>
      </c>
      <c r="L52" s="136" t="str">
        <f t="shared" si="5"/>
        <v/>
      </c>
      <c r="M52" s="136" t="str">
        <f t="shared" si="6"/>
        <v/>
      </c>
      <c r="N52" s="174" t="str">
        <f t="shared" si="7"/>
        <v>T</v>
      </c>
      <c r="O52" s="135">
        <f t="shared" si="1"/>
        <v>0.20031199999999999</v>
      </c>
      <c r="P52" s="137"/>
    </row>
    <row r="53" spans="1:16" ht="17.25" customHeight="1">
      <c r="A53" s="121">
        <f t="shared" si="8"/>
        <v>17</v>
      </c>
      <c r="B53" s="121"/>
      <c r="C53" s="121">
        <v>1</v>
      </c>
      <c r="D53" s="121">
        <v>450</v>
      </c>
      <c r="E53" s="121">
        <v>150</v>
      </c>
      <c r="F53" s="121"/>
      <c r="G53" s="121"/>
      <c r="H53" s="121">
        <v>270</v>
      </c>
      <c r="I53" s="134" t="s">
        <v>45</v>
      </c>
      <c r="J53" s="135">
        <f t="shared" si="3"/>
        <v>0.32400000000000001</v>
      </c>
      <c r="K53" s="135" t="str">
        <f t="shared" si="4"/>
        <v/>
      </c>
      <c r="L53" s="136" t="str">
        <f t="shared" si="5"/>
        <v/>
      </c>
      <c r="M53" s="136" t="str">
        <f t="shared" si="6"/>
        <v/>
      </c>
      <c r="N53" s="174" t="str">
        <f t="shared" si="7"/>
        <v>T</v>
      </c>
      <c r="O53" s="135">
        <f t="shared" si="1"/>
        <v>0.34344000000000002</v>
      </c>
      <c r="P53" s="137"/>
    </row>
    <row r="54" spans="1:16" ht="17.25" customHeight="1">
      <c r="A54" s="121">
        <f t="shared" si="8"/>
        <v>18</v>
      </c>
      <c r="B54" s="121"/>
      <c r="C54" s="121">
        <v>2</v>
      </c>
      <c r="D54" s="121">
        <v>450</v>
      </c>
      <c r="E54" s="121">
        <v>150</v>
      </c>
      <c r="F54" s="121">
        <v>162</v>
      </c>
      <c r="G54" s="121">
        <v>150</v>
      </c>
      <c r="H54" s="121">
        <v>269</v>
      </c>
      <c r="I54" s="134" t="s">
        <v>45</v>
      </c>
      <c r="J54" s="135">
        <f t="shared" si="3"/>
        <v>0.24532799999999999</v>
      </c>
      <c r="K54" s="135" t="str">
        <f t="shared" si="4"/>
        <v/>
      </c>
      <c r="L54" s="136" t="str">
        <f t="shared" si="5"/>
        <v/>
      </c>
      <c r="M54" s="136" t="str">
        <f t="shared" si="6"/>
        <v/>
      </c>
      <c r="N54" s="174" t="str">
        <f t="shared" si="7"/>
        <v>T</v>
      </c>
      <c r="O54" s="135">
        <f t="shared" si="1"/>
        <v>0.26469599999999999</v>
      </c>
      <c r="P54" s="137"/>
    </row>
    <row r="55" spans="1:16" ht="17.25" customHeight="1">
      <c r="A55" s="121">
        <f t="shared" si="8"/>
        <v>19</v>
      </c>
      <c r="B55" s="121"/>
      <c r="C55" s="121">
        <v>2</v>
      </c>
      <c r="D55" s="121">
        <v>450</v>
      </c>
      <c r="E55" s="121">
        <v>150</v>
      </c>
      <c r="F55" s="121">
        <v>162</v>
      </c>
      <c r="G55" s="121">
        <v>150</v>
      </c>
      <c r="H55" s="121">
        <v>269</v>
      </c>
      <c r="I55" s="134" t="s">
        <v>45</v>
      </c>
      <c r="J55" s="135">
        <f t="shared" si="3"/>
        <v>0.24532799999999999</v>
      </c>
      <c r="K55" s="135" t="str">
        <f t="shared" si="4"/>
        <v/>
      </c>
      <c r="L55" s="136" t="str">
        <f t="shared" si="5"/>
        <v/>
      </c>
      <c r="M55" s="136" t="str">
        <f t="shared" si="6"/>
        <v/>
      </c>
      <c r="N55" s="174" t="str">
        <f t="shared" si="7"/>
        <v>T</v>
      </c>
      <c r="O55" s="135">
        <f t="shared" si="1"/>
        <v>0.26469599999999999</v>
      </c>
      <c r="P55" s="137"/>
    </row>
    <row r="56" spans="1:16" ht="17.25" customHeight="1">
      <c r="A56" s="121">
        <f t="shared" si="8"/>
        <v>20</v>
      </c>
      <c r="B56" s="121"/>
      <c r="C56" s="121">
        <v>3</v>
      </c>
      <c r="D56" s="121">
        <v>450</v>
      </c>
      <c r="E56" s="121">
        <v>150</v>
      </c>
      <c r="F56" s="121"/>
      <c r="G56" s="121"/>
      <c r="H56" s="121"/>
      <c r="I56" s="134" t="s">
        <v>45</v>
      </c>
      <c r="J56" s="135">
        <f t="shared" si="3"/>
        <v>0.707175</v>
      </c>
      <c r="K56" s="135" t="str">
        <f t="shared" si="4"/>
        <v/>
      </c>
      <c r="L56" s="136" t="str">
        <f t="shared" si="5"/>
        <v/>
      </c>
      <c r="M56" s="136" t="str">
        <f t="shared" si="6"/>
        <v/>
      </c>
      <c r="N56" s="174" t="str">
        <f t="shared" si="7"/>
        <v>T</v>
      </c>
      <c r="O56" s="135">
        <f t="shared" si="1"/>
        <v>0.74960550000000004</v>
      </c>
      <c r="P56" s="137"/>
    </row>
    <row r="57" spans="1:16" ht="17.25" customHeight="1">
      <c r="A57" s="121">
        <f t="shared" si="8"/>
        <v>21</v>
      </c>
      <c r="B57" s="121"/>
      <c r="C57" s="121">
        <v>1</v>
      </c>
      <c r="D57" s="121">
        <v>450</v>
      </c>
      <c r="E57" s="121">
        <v>150</v>
      </c>
      <c r="F57" s="121"/>
      <c r="G57" s="121"/>
      <c r="H57" s="121">
        <v>545</v>
      </c>
      <c r="I57" s="134" t="s">
        <v>45</v>
      </c>
      <c r="J57" s="135">
        <f t="shared" si="3"/>
        <v>0.65400000000000003</v>
      </c>
      <c r="K57" s="135" t="str">
        <f t="shared" si="4"/>
        <v/>
      </c>
      <c r="L57" s="136" t="str">
        <f t="shared" si="5"/>
        <v/>
      </c>
      <c r="M57" s="136" t="str">
        <f t="shared" si="6"/>
        <v/>
      </c>
      <c r="N57" s="174" t="str">
        <f t="shared" si="7"/>
        <v>T</v>
      </c>
      <c r="O57" s="135">
        <f t="shared" si="1"/>
        <v>0.69323999999999997</v>
      </c>
      <c r="P57" s="137"/>
    </row>
    <row r="58" spans="1:16" ht="17.25" customHeight="1">
      <c r="A58" s="121">
        <f t="shared" si="8"/>
        <v>22</v>
      </c>
      <c r="B58" s="121"/>
      <c r="C58" s="121">
        <v>2</v>
      </c>
      <c r="D58" s="121">
        <v>350</v>
      </c>
      <c r="E58" s="121">
        <v>150</v>
      </c>
      <c r="F58" s="121">
        <v>162</v>
      </c>
      <c r="G58" s="121">
        <v>150</v>
      </c>
      <c r="H58" s="121">
        <v>140</v>
      </c>
      <c r="I58" s="134" t="s">
        <v>45</v>
      </c>
      <c r="J58" s="135">
        <f t="shared" si="3"/>
        <v>0.11368</v>
      </c>
      <c r="K58" s="135" t="str">
        <f t="shared" si="4"/>
        <v/>
      </c>
      <c r="L58" s="136" t="str">
        <f t="shared" si="5"/>
        <v/>
      </c>
      <c r="M58" s="136" t="str">
        <f t="shared" si="6"/>
        <v/>
      </c>
      <c r="N58" s="174" t="str">
        <f t="shared" si="7"/>
        <v>T</v>
      </c>
      <c r="O58" s="135">
        <f t="shared" si="1"/>
        <v>0.12376</v>
      </c>
      <c r="P58" s="137"/>
    </row>
    <row r="59" spans="1:16" ht="17.25" customHeight="1">
      <c r="A59" s="121">
        <f t="shared" si="8"/>
        <v>23</v>
      </c>
      <c r="B59" s="121"/>
      <c r="C59" s="121">
        <v>2</v>
      </c>
      <c r="D59" s="121">
        <v>350</v>
      </c>
      <c r="E59" s="121">
        <v>150</v>
      </c>
      <c r="F59" s="121">
        <v>270</v>
      </c>
      <c r="G59" s="121">
        <v>150</v>
      </c>
      <c r="H59" s="121">
        <v>72</v>
      </c>
      <c r="I59" s="134" t="s">
        <v>45</v>
      </c>
      <c r="J59" s="135">
        <f t="shared" si="3"/>
        <v>6.6239999999999993E-2</v>
      </c>
      <c r="K59" s="135" t="str">
        <f t="shared" si="4"/>
        <v/>
      </c>
      <c r="L59" s="136" t="str">
        <f t="shared" si="5"/>
        <v/>
      </c>
      <c r="M59" s="136" t="str">
        <f t="shared" si="6"/>
        <v/>
      </c>
      <c r="N59" s="174" t="str">
        <f t="shared" si="7"/>
        <v>T</v>
      </c>
      <c r="O59" s="135">
        <f t="shared" si="1"/>
        <v>7.1424000000000001E-2</v>
      </c>
      <c r="P59" s="137"/>
    </row>
    <row r="60" spans="1:16" ht="17.25" customHeight="1">
      <c r="A60" s="121">
        <f t="shared" si="8"/>
        <v>24</v>
      </c>
      <c r="B60" s="121"/>
      <c r="C60" s="121">
        <v>1</v>
      </c>
      <c r="D60" s="121">
        <v>350</v>
      </c>
      <c r="E60" s="121">
        <v>150</v>
      </c>
      <c r="F60" s="121"/>
      <c r="G60" s="121"/>
      <c r="H60" s="121">
        <v>105</v>
      </c>
      <c r="I60" s="134" t="s">
        <v>45</v>
      </c>
      <c r="J60" s="135">
        <f t="shared" si="3"/>
        <v>0.105</v>
      </c>
      <c r="K60" s="135" t="str">
        <f t="shared" si="4"/>
        <v/>
      </c>
      <c r="L60" s="136" t="str">
        <f t="shared" si="5"/>
        <v/>
      </c>
      <c r="M60" s="136" t="str">
        <f t="shared" si="6"/>
        <v/>
      </c>
      <c r="N60" s="174" t="str">
        <f t="shared" si="7"/>
        <v>T</v>
      </c>
      <c r="O60" s="135">
        <f t="shared" si="1"/>
        <v>0.11255999999999999</v>
      </c>
      <c r="P60" s="137"/>
    </row>
    <row r="61" spans="1:16" ht="17.25" customHeight="1">
      <c r="A61" s="121">
        <f t="shared" si="8"/>
        <v>25</v>
      </c>
      <c r="B61" s="121"/>
      <c r="C61" s="121">
        <v>3</v>
      </c>
      <c r="D61" s="121">
        <v>350</v>
      </c>
      <c r="E61" s="121">
        <v>150</v>
      </c>
      <c r="F61" s="121"/>
      <c r="G61" s="121"/>
      <c r="H61" s="121"/>
      <c r="I61" s="134" t="s">
        <v>45</v>
      </c>
      <c r="J61" s="135">
        <f t="shared" si="3"/>
        <v>0.51073749999999996</v>
      </c>
      <c r="K61" s="135" t="str">
        <f t="shared" si="4"/>
        <v/>
      </c>
      <c r="L61" s="136" t="str">
        <f t="shared" si="5"/>
        <v/>
      </c>
      <c r="M61" s="136" t="str">
        <f t="shared" si="6"/>
        <v/>
      </c>
      <c r="N61" s="174" t="str">
        <f t="shared" si="7"/>
        <v>T</v>
      </c>
      <c r="O61" s="135">
        <f t="shared" si="1"/>
        <v>0.54751059999999996</v>
      </c>
      <c r="P61" s="137"/>
    </row>
    <row r="62" spans="1:16" ht="17.25" customHeight="1">
      <c r="A62" s="121">
        <f t="shared" si="8"/>
        <v>26</v>
      </c>
      <c r="B62" s="121"/>
      <c r="C62" s="121">
        <v>1</v>
      </c>
      <c r="D62" s="121">
        <v>350</v>
      </c>
      <c r="E62" s="121">
        <v>150</v>
      </c>
      <c r="F62" s="121"/>
      <c r="G62" s="121"/>
      <c r="H62" s="121">
        <v>380</v>
      </c>
      <c r="I62" s="134" t="s">
        <v>45</v>
      </c>
      <c r="J62" s="135">
        <f t="shared" si="3"/>
        <v>0.38</v>
      </c>
      <c r="K62" s="135" t="str">
        <f t="shared" si="4"/>
        <v/>
      </c>
      <c r="L62" s="136" t="str">
        <f t="shared" si="5"/>
        <v/>
      </c>
      <c r="M62" s="136" t="str">
        <f t="shared" si="6"/>
        <v/>
      </c>
      <c r="N62" s="174" t="str">
        <f t="shared" si="7"/>
        <v>T</v>
      </c>
      <c r="O62" s="135">
        <f t="shared" si="1"/>
        <v>0.40736</v>
      </c>
      <c r="P62" s="137"/>
    </row>
    <row r="63" spans="1:16" ht="17.25" customHeight="1">
      <c r="A63" s="121">
        <f t="shared" si="8"/>
        <v>27</v>
      </c>
      <c r="B63" s="121"/>
      <c r="C63" s="121">
        <v>2</v>
      </c>
      <c r="D63" s="121">
        <v>400</v>
      </c>
      <c r="E63" s="121">
        <v>150</v>
      </c>
      <c r="F63" s="121">
        <v>350</v>
      </c>
      <c r="G63" s="121">
        <v>150</v>
      </c>
      <c r="H63" s="121">
        <v>141</v>
      </c>
      <c r="I63" s="134" t="s">
        <v>45</v>
      </c>
      <c r="J63" s="135">
        <f t="shared" si="3"/>
        <v>0.14804999999999999</v>
      </c>
      <c r="K63" s="135" t="str">
        <f t="shared" si="4"/>
        <v/>
      </c>
      <c r="L63" s="136" t="str">
        <f t="shared" si="5"/>
        <v/>
      </c>
      <c r="M63" s="136" t="str">
        <f t="shared" si="6"/>
        <v/>
      </c>
      <c r="N63" s="174" t="str">
        <f t="shared" si="7"/>
        <v>T</v>
      </c>
      <c r="O63" s="135">
        <f t="shared" si="1"/>
        <v>0.15820200000000001</v>
      </c>
      <c r="P63" s="137"/>
    </row>
    <row r="64" spans="1:16" ht="17.25" customHeight="1">
      <c r="A64" s="121">
        <f t="shared" si="8"/>
        <v>28</v>
      </c>
      <c r="B64" s="121"/>
      <c r="C64" s="121">
        <v>1</v>
      </c>
      <c r="D64" s="121">
        <v>350</v>
      </c>
      <c r="E64" s="121">
        <v>150</v>
      </c>
      <c r="F64" s="121"/>
      <c r="G64" s="121"/>
      <c r="H64" s="121">
        <v>62</v>
      </c>
      <c r="I64" s="134" t="s">
        <v>45</v>
      </c>
      <c r="J64" s="135">
        <f t="shared" si="3"/>
        <v>6.2E-2</v>
      </c>
      <c r="K64" s="135" t="str">
        <f t="shared" si="4"/>
        <v/>
      </c>
      <c r="L64" s="136" t="str">
        <f t="shared" si="5"/>
        <v/>
      </c>
      <c r="M64" s="136" t="str">
        <f t="shared" si="6"/>
        <v/>
      </c>
      <c r="N64" s="174" t="str">
        <f t="shared" si="7"/>
        <v>T</v>
      </c>
      <c r="O64" s="135">
        <f t="shared" si="1"/>
        <v>6.6463999999999995E-2</v>
      </c>
      <c r="P64" s="137"/>
    </row>
    <row r="65" spans="1:16" ht="17.25" customHeight="1">
      <c r="A65" s="121">
        <f t="shared" si="8"/>
        <v>29</v>
      </c>
      <c r="B65" s="121"/>
      <c r="C65" s="121">
        <v>2</v>
      </c>
      <c r="D65" s="121">
        <v>350</v>
      </c>
      <c r="E65" s="121">
        <v>150</v>
      </c>
      <c r="F65" s="121">
        <v>162</v>
      </c>
      <c r="G65" s="121">
        <v>150</v>
      </c>
      <c r="H65" s="121">
        <v>121</v>
      </c>
      <c r="I65" s="134" t="s">
        <v>45</v>
      </c>
      <c r="J65" s="135">
        <f t="shared" si="3"/>
        <v>9.8252000000000006E-2</v>
      </c>
      <c r="K65" s="135" t="str">
        <f t="shared" si="4"/>
        <v/>
      </c>
      <c r="L65" s="136" t="str">
        <f t="shared" si="5"/>
        <v/>
      </c>
      <c r="M65" s="136" t="str">
        <f t="shared" si="6"/>
        <v/>
      </c>
      <c r="N65" s="174" t="str">
        <f t="shared" si="7"/>
        <v>T</v>
      </c>
      <c r="O65" s="135">
        <f t="shared" si="1"/>
        <v>0.106964</v>
      </c>
      <c r="P65" s="137"/>
    </row>
    <row r="66" spans="1:16" ht="17.25" customHeight="1">
      <c r="A66" s="121">
        <f t="shared" si="8"/>
        <v>30</v>
      </c>
      <c r="B66" s="121"/>
      <c r="C66" s="121">
        <v>2</v>
      </c>
      <c r="D66" s="121">
        <v>350</v>
      </c>
      <c r="E66" s="121">
        <v>150</v>
      </c>
      <c r="F66" s="121">
        <v>162</v>
      </c>
      <c r="G66" s="121">
        <v>150</v>
      </c>
      <c r="H66" s="121">
        <v>62</v>
      </c>
      <c r="I66" s="134" t="s">
        <v>45</v>
      </c>
      <c r="J66" s="135">
        <f t="shared" si="3"/>
        <v>5.0344E-2</v>
      </c>
      <c r="K66" s="135" t="str">
        <f t="shared" si="4"/>
        <v/>
      </c>
      <c r="L66" s="136" t="str">
        <f t="shared" si="5"/>
        <v/>
      </c>
      <c r="M66" s="136" t="str">
        <f t="shared" si="6"/>
        <v/>
      </c>
      <c r="N66" s="174" t="str">
        <f t="shared" si="7"/>
        <v>T</v>
      </c>
      <c r="O66" s="135">
        <f t="shared" si="1"/>
        <v>5.4808000000000003E-2</v>
      </c>
      <c r="P66" s="137"/>
    </row>
    <row r="67" spans="1:16" ht="17.25" customHeight="1">
      <c r="A67" s="121">
        <f t="shared" si="8"/>
        <v>31</v>
      </c>
      <c r="B67" s="121"/>
      <c r="C67" s="121">
        <v>1</v>
      </c>
      <c r="D67" s="121">
        <v>350</v>
      </c>
      <c r="E67" s="121">
        <v>150</v>
      </c>
      <c r="F67" s="121"/>
      <c r="G67" s="121"/>
      <c r="H67" s="121">
        <v>535</v>
      </c>
      <c r="I67" s="134" t="s">
        <v>45</v>
      </c>
      <c r="J67" s="135">
        <f t="shared" si="3"/>
        <v>0.53500000000000003</v>
      </c>
      <c r="K67" s="135" t="str">
        <f t="shared" si="4"/>
        <v/>
      </c>
      <c r="L67" s="136" t="str">
        <f t="shared" si="5"/>
        <v/>
      </c>
      <c r="M67" s="136" t="str">
        <f t="shared" si="6"/>
        <v/>
      </c>
      <c r="N67" s="174" t="str">
        <f t="shared" si="7"/>
        <v>T</v>
      </c>
      <c r="O67" s="135">
        <f t="shared" si="1"/>
        <v>0.57352000000000003</v>
      </c>
      <c r="P67" s="137"/>
    </row>
    <row r="68" spans="1:16" ht="17.25" customHeight="1">
      <c r="A68" s="121"/>
      <c r="B68" s="121"/>
      <c r="C68" s="121"/>
      <c r="D68" s="138">
        <v>650</v>
      </c>
      <c r="E68" s="138">
        <v>200</v>
      </c>
      <c r="F68" s="121"/>
      <c r="G68" s="121"/>
      <c r="H68" s="138">
        <v>100</v>
      </c>
      <c r="I68" s="152"/>
      <c r="J68" s="135">
        <f t="shared" si="3"/>
        <v>0.17</v>
      </c>
      <c r="K68" s="135"/>
      <c r="L68" s="136"/>
      <c r="M68" s="136"/>
      <c r="N68" s="136"/>
      <c r="O68" s="135"/>
      <c r="P68" s="137"/>
    </row>
    <row r="69" spans="1:16" ht="17.25" customHeight="1">
      <c r="A69" s="121"/>
      <c r="B69" s="121"/>
      <c r="C69" s="121"/>
      <c r="D69" s="138">
        <v>400</v>
      </c>
      <c r="E69" s="138">
        <v>150</v>
      </c>
      <c r="F69" s="121"/>
      <c r="G69" s="121"/>
      <c r="H69" s="138">
        <v>100</v>
      </c>
      <c r="I69" s="152"/>
      <c r="J69" s="135">
        <f t="shared" si="3"/>
        <v>0.11</v>
      </c>
      <c r="K69" s="135"/>
      <c r="L69" s="136"/>
      <c r="M69" s="136"/>
      <c r="N69" s="136"/>
      <c r="O69" s="135"/>
      <c r="P69" s="137"/>
    </row>
    <row r="70" spans="1:16" ht="17.25" customHeight="1">
      <c r="A70" s="121"/>
      <c r="B70" s="121"/>
      <c r="C70" s="121"/>
      <c r="D70" s="138">
        <v>350</v>
      </c>
      <c r="E70" s="138">
        <v>100</v>
      </c>
      <c r="F70" s="121"/>
      <c r="G70" s="121"/>
      <c r="H70" s="138">
        <v>100</v>
      </c>
      <c r="I70" s="152"/>
      <c r="J70" s="135">
        <f t="shared" si="3"/>
        <v>0.09</v>
      </c>
      <c r="K70" s="135"/>
      <c r="L70" s="136"/>
      <c r="M70" s="136"/>
      <c r="N70" s="136"/>
      <c r="O70" s="135"/>
      <c r="P70" s="137"/>
    </row>
    <row r="71" spans="1:16" ht="17.25" customHeight="1">
      <c r="A71" s="121"/>
      <c r="B71" s="121"/>
      <c r="C71" s="121"/>
      <c r="D71" s="138">
        <v>400</v>
      </c>
      <c r="E71" s="138">
        <v>150</v>
      </c>
      <c r="F71" s="121"/>
      <c r="G71" s="121"/>
      <c r="H71" s="138">
        <v>100</v>
      </c>
      <c r="I71" s="152"/>
      <c r="J71" s="135">
        <f t="shared" si="3"/>
        <v>0.11</v>
      </c>
      <c r="K71" s="135"/>
      <c r="L71" s="136"/>
      <c r="M71" s="136"/>
      <c r="N71" s="136"/>
      <c r="O71" s="135"/>
      <c r="P71" s="137"/>
    </row>
    <row r="72" spans="1:16" ht="17.25" customHeight="1">
      <c r="A72" s="121"/>
      <c r="B72" s="121"/>
      <c r="C72" s="121"/>
      <c r="D72" s="138">
        <v>400</v>
      </c>
      <c r="E72" s="138">
        <v>150</v>
      </c>
      <c r="F72" s="121"/>
      <c r="G72" s="121"/>
      <c r="H72" s="138">
        <v>100</v>
      </c>
      <c r="I72" s="152"/>
      <c r="J72" s="135">
        <f t="shared" si="3"/>
        <v>0.11</v>
      </c>
      <c r="K72" s="135"/>
      <c r="L72" s="136"/>
      <c r="M72" s="136"/>
      <c r="N72" s="136"/>
      <c r="O72" s="135"/>
      <c r="P72" s="137"/>
    </row>
    <row r="73" spans="1:16" ht="17.25" customHeight="1">
      <c r="A73" s="121"/>
      <c r="B73" s="121"/>
      <c r="C73" s="121"/>
      <c r="D73" s="138">
        <v>400</v>
      </c>
      <c r="E73" s="138">
        <v>150</v>
      </c>
      <c r="F73" s="121"/>
      <c r="G73" s="121"/>
      <c r="H73" s="138">
        <v>100</v>
      </c>
      <c r="I73" s="152"/>
      <c r="J73" s="135">
        <f t="shared" si="3"/>
        <v>0.11</v>
      </c>
      <c r="K73" s="135"/>
      <c r="L73" s="136"/>
      <c r="M73" s="136"/>
      <c r="N73" s="136"/>
      <c r="O73" s="135"/>
      <c r="P73" s="137"/>
    </row>
    <row r="74" spans="1:16" ht="17.25" customHeight="1">
      <c r="A74" s="121"/>
      <c r="B74" s="121"/>
      <c r="C74" s="121"/>
      <c r="D74" s="138">
        <v>500</v>
      </c>
      <c r="E74" s="138">
        <v>250</v>
      </c>
      <c r="F74" s="138"/>
      <c r="G74" s="121"/>
      <c r="H74" s="121">
        <v>150</v>
      </c>
      <c r="I74" s="152"/>
      <c r="J74" s="135">
        <f t="shared" si="3"/>
        <v>0.22500000000000001</v>
      </c>
      <c r="K74" s="135"/>
      <c r="L74" s="136"/>
      <c r="M74" s="136"/>
      <c r="N74" s="136"/>
      <c r="O74" s="135"/>
      <c r="P74" s="137"/>
    </row>
    <row r="75" spans="1:16" ht="17.25" customHeight="1">
      <c r="A75" s="121"/>
      <c r="B75" s="121"/>
      <c r="C75" s="121"/>
      <c r="D75" s="138">
        <v>730</v>
      </c>
      <c r="E75" s="138">
        <v>200</v>
      </c>
      <c r="F75" s="138"/>
      <c r="G75" s="121"/>
      <c r="H75" s="121">
        <v>150</v>
      </c>
      <c r="I75" s="152"/>
      <c r="J75" s="135">
        <f t="shared" si="3"/>
        <v>0.27900000000000003</v>
      </c>
      <c r="K75" s="135"/>
      <c r="L75" s="136"/>
      <c r="M75" s="136"/>
      <c r="N75" s="136"/>
      <c r="O75" s="135"/>
      <c r="P75" s="137"/>
    </row>
    <row r="76" spans="1:16" ht="17.25" customHeight="1">
      <c r="A76" s="121"/>
      <c r="B76" s="121"/>
      <c r="C76" s="121"/>
      <c r="D76" s="121"/>
      <c r="E76" s="121"/>
      <c r="F76" s="121"/>
      <c r="G76" s="121"/>
      <c r="H76" s="121"/>
      <c r="I76" s="152"/>
      <c r="J76" s="135"/>
      <c r="K76" s="135"/>
      <c r="L76" s="136"/>
      <c r="M76" s="136"/>
      <c r="N76" s="136"/>
      <c r="O76" s="135"/>
      <c r="P76" s="137"/>
    </row>
    <row r="77" spans="1:16" ht="17.25" customHeight="1">
      <c r="A77" s="121"/>
      <c r="B77" s="121"/>
      <c r="C77" s="121"/>
      <c r="D77" s="121"/>
      <c r="E77" s="121"/>
      <c r="F77" s="121"/>
      <c r="G77" s="121"/>
      <c r="H77" s="121"/>
      <c r="I77" s="152"/>
      <c r="J77" s="135"/>
      <c r="K77" s="135"/>
      <c r="L77" s="136"/>
      <c r="M77" s="136"/>
      <c r="N77" s="136"/>
      <c r="O77" s="135"/>
      <c r="P77" s="137"/>
    </row>
    <row r="78" spans="1:16" ht="17.25" customHeight="1">
      <c r="A78" s="121"/>
      <c r="B78" s="121"/>
      <c r="C78" s="121"/>
      <c r="D78" s="121"/>
      <c r="E78" s="121"/>
      <c r="F78" s="121"/>
      <c r="G78" s="121"/>
      <c r="H78" s="121"/>
      <c r="I78" s="152"/>
      <c r="J78" s="135"/>
      <c r="K78" s="135"/>
      <c r="L78" s="136"/>
      <c r="M78" s="136"/>
      <c r="N78" s="136"/>
      <c r="O78" s="135"/>
      <c r="P78" s="137"/>
    </row>
    <row r="79" spans="1:16" ht="17.25" customHeight="1">
      <c r="A79" s="121"/>
      <c r="B79" s="121"/>
      <c r="C79" s="121"/>
      <c r="D79" s="121"/>
      <c r="E79" s="121"/>
      <c r="F79" s="121"/>
      <c r="G79" s="121"/>
      <c r="H79" s="121"/>
      <c r="I79" s="152"/>
      <c r="J79" s="135"/>
      <c r="K79" s="135"/>
      <c r="L79" s="136"/>
      <c r="M79" s="136"/>
      <c r="N79" s="136"/>
      <c r="O79" s="135"/>
      <c r="P79" s="137"/>
    </row>
    <row r="80" spans="1:16" ht="17.25" customHeight="1">
      <c r="A80" s="139"/>
      <c r="B80" s="139"/>
      <c r="C80" s="139"/>
      <c r="D80" s="139"/>
      <c r="E80" s="139"/>
      <c r="F80" s="139"/>
      <c r="G80" s="139"/>
      <c r="H80" s="139"/>
      <c r="I80" s="153"/>
      <c r="J80" s="154"/>
      <c r="K80" s="154"/>
      <c r="L80" s="155"/>
      <c r="M80" s="155"/>
      <c r="N80" s="155"/>
      <c r="O80" s="154"/>
      <c r="P80" s="129"/>
    </row>
    <row r="83" spans="2:16">
      <c r="B83" s="140"/>
      <c r="C83" s="141"/>
      <c r="D83" s="141"/>
      <c r="E83" s="141"/>
      <c r="F83" s="141"/>
      <c r="G83" s="141"/>
      <c r="H83" s="141"/>
      <c r="I83" s="156"/>
    </row>
    <row r="84" spans="2:16">
      <c r="B84" s="142"/>
      <c r="C84" s="143"/>
      <c r="D84" s="143"/>
      <c r="E84" s="143"/>
      <c r="F84" s="143"/>
      <c r="G84" s="143"/>
      <c r="H84" s="143"/>
      <c r="I84" s="157" t="s">
        <v>49</v>
      </c>
    </row>
    <row r="85" spans="2:16">
      <c r="B85" s="144" t="s">
        <v>50</v>
      </c>
      <c r="C85" s="145" t="s">
        <v>51</v>
      </c>
      <c r="D85" s="146"/>
      <c r="E85" s="145"/>
      <c r="F85" s="145"/>
      <c r="G85" s="145"/>
      <c r="H85" s="145"/>
      <c r="I85" s="157"/>
      <c r="J85" s="110"/>
      <c r="K85" s="110"/>
      <c r="L85" s="110"/>
      <c r="M85" s="110"/>
      <c r="N85" s="110"/>
      <c r="O85" s="110"/>
      <c r="P85" s="110"/>
    </row>
    <row r="86" spans="2:16">
      <c r="B86" s="144">
        <f>H11/1000</f>
        <v>44.008000000000003</v>
      </c>
      <c r="C86" s="145">
        <f>B86/2</f>
        <v>22.004000000000001</v>
      </c>
      <c r="D86" s="147" t="s">
        <v>52</v>
      </c>
      <c r="E86" s="145">
        <v>2</v>
      </c>
      <c r="F86" s="145" t="s">
        <v>53</v>
      </c>
      <c r="G86" s="145">
        <f>C86*H86</f>
        <v>8.5595560000000006</v>
      </c>
      <c r="H86" s="145">
        <v>0.38900000000000001</v>
      </c>
      <c r="I86" s="158">
        <f>G86*110%</f>
        <v>9.4155116000000021</v>
      </c>
      <c r="J86" s="110"/>
      <c r="K86" s="110"/>
      <c r="L86" s="110"/>
      <c r="M86" s="110"/>
      <c r="N86" s="110"/>
      <c r="O86" s="110"/>
      <c r="P86" s="110"/>
    </row>
    <row r="87" spans="2:16" ht="25.5">
      <c r="B87" s="144"/>
      <c r="C87" s="145"/>
      <c r="D87" s="148" t="s">
        <v>54</v>
      </c>
      <c r="E87" s="145">
        <v>4</v>
      </c>
      <c r="F87" s="145" t="s">
        <v>55</v>
      </c>
      <c r="G87" s="145">
        <f>C86*E87</f>
        <v>88.016000000000005</v>
      </c>
      <c r="H87" s="145"/>
      <c r="I87" s="158">
        <f t="shared" ref="I87:I89" si="9">G87*110%</f>
        <v>96.817600000000013</v>
      </c>
      <c r="J87" s="110"/>
      <c r="K87" s="110"/>
      <c r="L87" s="110"/>
      <c r="M87" s="110"/>
      <c r="N87" s="110"/>
      <c r="O87" s="110"/>
      <c r="P87" s="110"/>
    </row>
    <row r="88" spans="2:16" ht="25.5">
      <c r="B88" s="144"/>
      <c r="C88" s="145"/>
      <c r="D88" s="148" t="s">
        <v>56</v>
      </c>
      <c r="E88" s="145">
        <v>2</v>
      </c>
      <c r="F88" s="145" t="s">
        <v>57</v>
      </c>
      <c r="G88" s="145">
        <f>C86*E88</f>
        <v>44.008000000000003</v>
      </c>
      <c r="H88" s="145"/>
      <c r="I88" s="158">
        <f t="shared" si="9"/>
        <v>48.408800000000006</v>
      </c>
      <c r="J88" s="110"/>
      <c r="K88" s="110"/>
      <c r="L88" s="110"/>
      <c r="M88" s="110"/>
      <c r="N88" s="110"/>
      <c r="O88" s="110"/>
      <c r="P88" s="110"/>
    </row>
    <row r="89" spans="2:16">
      <c r="B89" s="149"/>
      <c r="C89" s="150"/>
      <c r="D89" s="151" t="s">
        <v>58</v>
      </c>
      <c r="E89" s="150">
        <v>2</v>
      </c>
      <c r="F89" s="150" t="s">
        <v>55</v>
      </c>
      <c r="G89" s="150">
        <f>C86*E89</f>
        <v>44.008000000000003</v>
      </c>
      <c r="H89" s="150"/>
      <c r="I89" s="159">
        <f t="shared" si="9"/>
        <v>48.408800000000006</v>
      </c>
      <c r="J89" s="110"/>
      <c r="K89" s="110"/>
      <c r="L89" s="110"/>
      <c r="M89" s="110"/>
      <c r="N89" s="110"/>
      <c r="O89" s="110"/>
      <c r="P89" s="110"/>
    </row>
  </sheetData>
  <mergeCells count="18">
    <mergeCell ref="L8:L9"/>
    <mergeCell ref="M8:M9"/>
    <mergeCell ref="P7:P9"/>
    <mergeCell ref="A3:D3"/>
    <mergeCell ref="D7:G7"/>
    <mergeCell ref="J7:M7"/>
    <mergeCell ref="A10:O10"/>
    <mergeCell ref="A7:A9"/>
    <mergeCell ref="B7:B9"/>
    <mergeCell ref="C7:C9"/>
    <mergeCell ref="D8:D9"/>
    <mergeCell ref="E8:E9"/>
    <mergeCell ref="F8:F9"/>
    <mergeCell ref="G8:G9"/>
    <mergeCell ref="H7:H9"/>
    <mergeCell ref="I7:I8"/>
    <mergeCell ref="J8:J9"/>
    <mergeCell ref="K8:K9"/>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I114"/>
  <sheetViews>
    <sheetView topLeftCell="A103" workbookViewId="0">
      <selection activeCell="C120" sqref="C120"/>
    </sheetView>
  </sheetViews>
  <sheetFormatPr defaultColWidth="9" defaultRowHeight="15"/>
  <cols>
    <col min="2" max="2" width="16.140625" customWidth="1"/>
    <col min="3" max="3" width="55.140625" customWidth="1"/>
  </cols>
  <sheetData>
    <row r="4" spans="2:9" s="85" customFormat="1">
      <c r="B4" s="86">
        <v>1</v>
      </c>
      <c r="C4" s="414" t="s">
        <v>59</v>
      </c>
      <c r="D4" s="414"/>
      <c r="E4" s="414"/>
      <c r="F4" s="414"/>
      <c r="G4" s="414"/>
      <c r="H4" s="414"/>
      <c r="I4" s="414"/>
    </row>
    <row r="5" spans="2:9" s="85" customFormat="1">
      <c r="B5" s="87"/>
      <c r="C5" s="415" t="s">
        <v>60</v>
      </c>
      <c r="D5" s="415"/>
      <c r="E5" s="415"/>
      <c r="F5" s="415"/>
      <c r="G5" s="415"/>
      <c r="H5" s="415"/>
      <c r="I5" s="415"/>
    </row>
    <row r="6" spans="2:9" s="85" customFormat="1" ht="30">
      <c r="B6" s="88"/>
      <c r="C6" s="88" t="s">
        <v>61</v>
      </c>
      <c r="D6" s="89" t="s">
        <v>6</v>
      </c>
      <c r="E6" s="89" t="s">
        <v>5</v>
      </c>
      <c r="F6" s="90" t="s">
        <v>62</v>
      </c>
      <c r="G6" s="90"/>
      <c r="H6" s="90" t="s">
        <v>63</v>
      </c>
      <c r="I6" s="105" t="s">
        <v>64</v>
      </c>
    </row>
    <row r="7" spans="2:9">
      <c r="B7" s="72"/>
      <c r="C7" s="72"/>
      <c r="D7" s="72"/>
      <c r="E7" s="72"/>
      <c r="F7" s="72"/>
      <c r="G7" s="72"/>
      <c r="H7" s="72"/>
      <c r="I7" s="72"/>
    </row>
    <row r="8" spans="2:9" ht="60">
      <c r="B8" s="91">
        <v>1.3</v>
      </c>
      <c r="C8" s="92" t="s">
        <v>65</v>
      </c>
      <c r="D8" s="93"/>
      <c r="E8" s="93"/>
      <c r="F8" s="94"/>
      <c r="G8" s="93"/>
      <c r="H8" s="93"/>
      <c r="I8" s="72"/>
    </row>
    <row r="9" spans="2:9">
      <c r="B9" s="91"/>
      <c r="C9" s="71" t="s">
        <v>66</v>
      </c>
      <c r="D9" s="71"/>
      <c r="E9" s="93"/>
      <c r="F9" s="94"/>
      <c r="G9" s="93"/>
      <c r="H9" s="93"/>
      <c r="I9" s="72"/>
    </row>
    <row r="10" spans="2:9">
      <c r="B10" s="91"/>
      <c r="C10" s="92"/>
      <c r="D10" s="93"/>
      <c r="E10" s="93"/>
      <c r="F10" s="94"/>
      <c r="G10" s="93"/>
      <c r="H10" s="93"/>
      <c r="I10" s="72"/>
    </row>
    <row r="11" spans="2:9">
      <c r="B11" s="91"/>
      <c r="C11" s="92"/>
      <c r="D11" s="93"/>
      <c r="E11" s="93"/>
      <c r="F11" s="94"/>
      <c r="G11" s="93"/>
      <c r="H11" s="93"/>
      <c r="I11" s="72"/>
    </row>
    <row r="12" spans="2:9">
      <c r="B12" s="95"/>
      <c r="C12" s="95" t="s">
        <v>67</v>
      </c>
      <c r="D12" s="93" t="s">
        <v>68</v>
      </c>
      <c r="E12" s="93">
        <v>1</v>
      </c>
      <c r="F12" s="94">
        <v>1416</v>
      </c>
      <c r="G12" s="93"/>
      <c r="H12" s="93">
        <f>80.97*1.5</f>
        <v>121.455</v>
      </c>
      <c r="I12" s="72"/>
    </row>
    <row r="13" spans="2:9">
      <c r="B13" s="95"/>
      <c r="C13" s="95" t="s">
        <v>69</v>
      </c>
      <c r="D13" s="93" t="s">
        <v>68</v>
      </c>
      <c r="E13" s="93">
        <v>1</v>
      </c>
      <c r="F13" s="94">
        <f>F12*20%</f>
        <v>283.2</v>
      </c>
      <c r="G13" s="93"/>
      <c r="H13" s="94">
        <f>H12*20%</f>
        <v>24.291</v>
      </c>
      <c r="I13" s="72"/>
    </row>
    <row r="14" spans="2:9">
      <c r="B14" s="95"/>
      <c r="C14" s="95" t="s">
        <v>70</v>
      </c>
      <c r="D14" s="93" t="s">
        <v>68</v>
      </c>
      <c r="E14" s="93">
        <v>1</v>
      </c>
      <c r="F14" s="94">
        <f>F12*10%</f>
        <v>141.6</v>
      </c>
      <c r="G14" s="93"/>
      <c r="H14" s="94">
        <f>H12*10%</f>
        <v>12.1455</v>
      </c>
      <c r="I14" s="72"/>
    </row>
    <row r="15" spans="2:9">
      <c r="B15" s="95"/>
      <c r="C15" s="95"/>
      <c r="D15" s="93"/>
      <c r="E15" s="93"/>
      <c r="F15" s="94"/>
      <c r="G15" s="93"/>
      <c r="H15" s="94"/>
      <c r="I15" s="72"/>
    </row>
    <row r="16" spans="2:9">
      <c r="B16" s="95"/>
      <c r="C16" s="93" t="s">
        <v>71</v>
      </c>
      <c r="D16" s="93"/>
      <c r="E16" s="93"/>
      <c r="F16" s="94">
        <f>SUM(F12:F14)</f>
        <v>1840.8</v>
      </c>
      <c r="G16" s="93"/>
      <c r="H16" s="94">
        <f>SUM(H12:H14)</f>
        <v>157.89150000000001</v>
      </c>
      <c r="I16" s="72"/>
    </row>
    <row r="17" spans="2:9">
      <c r="B17" s="95"/>
      <c r="C17" s="95"/>
      <c r="D17" s="93"/>
      <c r="E17" s="93"/>
      <c r="F17" s="94"/>
      <c r="G17" s="93"/>
      <c r="H17" s="93"/>
      <c r="I17" s="72"/>
    </row>
    <row r="18" spans="2:9">
      <c r="B18" s="95"/>
      <c r="C18" s="96" t="s">
        <v>72</v>
      </c>
      <c r="D18" s="93"/>
      <c r="E18" s="93">
        <v>1</v>
      </c>
      <c r="F18" s="94">
        <f>F16*13%</f>
        <v>239.304</v>
      </c>
      <c r="G18" s="93"/>
      <c r="H18" s="94">
        <f>H16*13%</f>
        <v>20.525895000000002</v>
      </c>
      <c r="I18" s="72"/>
    </row>
    <row r="19" spans="2:9">
      <c r="B19" s="95"/>
      <c r="C19" s="96" t="s">
        <v>73</v>
      </c>
      <c r="D19" s="93"/>
      <c r="E19" s="93">
        <v>1</v>
      </c>
      <c r="F19" s="94">
        <f>F16*10%</f>
        <v>184.08</v>
      </c>
      <c r="G19" s="93"/>
      <c r="H19" s="94">
        <f>H16*10%</f>
        <v>15.789150000000001</v>
      </c>
      <c r="I19" s="72"/>
    </row>
    <row r="20" spans="2:9">
      <c r="B20" s="95"/>
      <c r="C20" s="96"/>
      <c r="D20" s="93"/>
      <c r="E20" s="93"/>
      <c r="F20" s="94"/>
      <c r="G20" s="93"/>
      <c r="H20" s="93"/>
      <c r="I20" s="72"/>
    </row>
    <row r="21" spans="2:9">
      <c r="B21" s="95"/>
      <c r="C21" s="97" t="s">
        <v>74</v>
      </c>
      <c r="D21" s="97"/>
      <c r="E21" s="97"/>
      <c r="F21" s="98">
        <f>SUM(F16:F19)</f>
        <v>2264.1839999999997</v>
      </c>
      <c r="G21" s="84"/>
      <c r="H21" s="98">
        <f>SUM(H16:H19)</f>
        <v>194.20654500000001</v>
      </c>
      <c r="I21" s="72"/>
    </row>
    <row r="22" spans="2:9">
      <c r="B22" s="95"/>
      <c r="C22" s="95"/>
      <c r="D22" s="93"/>
      <c r="E22" s="93"/>
      <c r="F22" s="94"/>
      <c r="G22" s="93"/>
      <c r="H22" s="93"/>
      <c r="I22" s="72"/>
    </row>
    <row r="23" spans="2:9">
      <c r="B23" s="95"/>
      <c r="C23" s="95" t="s">
        <v>75</v>
      </c>
      <c r="D23" s="93"/>
      <c r="E23" s="93"/>
      <c r="F23" s="94"/>
      <c r="G23" s="93"/>
      <c r="H23" s="93"/>
      <c r="I23" s="72"/>
    </row>
    <row r="24" spans="2:9">
      <c r="B24" s="95"/>
      <c r="C24" s="96" t="s">
        <v>76</v>
      </c>
      <c r="D24" s="99" t="s">
        <v>77</v>
      </c>
      <c r="E24" s="93">
        <v>1</v>
      </c>
      <c r="F24" s="94">
        <f>F21*0.15</f>
        <v>339.62759999999997</v>
      </c>
      <c r="G24" s="93"/>
      <c r="H24" s="93">
        <f>19.44*1.5</f>
        <v>29.160000000000004</v>
      </c>
      <c r="I24" s="72"/>
    </row>
    <row r="25" spans="2:9">
      <c r="B25" s="95"/>
      <c r="C25" s="96"/>
      <c r="D25" s="93"/>
      <c r="E25" s="93"/>
      <c r="F25" s="94"/>
      <c r="G25" s="93"/>
      <c r="H25" s="93"/>
      <c r="I25" s="72"/>
    </row>
    <row r="26" spans="2:9">
      <c r="B26" s="95"/>
      <c r="C26" s="95" t="s">
        <v>78</v>
      </c>
      <c r="D26" s="93" t="s">
        <v>79</v>
      </c>
      <c r="E26" s="93"/>
      <c r="F26" s="94">
        <v>100</v>
      </c>
      <c r="G26" s="93"/>
      <c r="H26" s="93">
        <f>5.72*2</f>
        <v>11.44</v>
      </c>
      <c r="I26" s="72"/>
    </row>
    <row r="27" spans="2:9">
      <c r="B27" s="95"/>
      <c r="C27" s="95"/>
      <c r="D27" s="93"/>
      <c r="E27" s="93"/>
      <c r="F27" s="94"/>
      <c r="G27" s="93"/>
      <c r="H27" s="93"/>
      <c r="I27" s="72"/>
    </row>
    <row r="28" spans="2:9">
      <c r="B28" s="95"/>
      <c r="C28" s="100" t="s">
        <v>71</v>
      </c>
      <c r="D28" s="101"/>
      <c r="E28" s="101"/>
      <c r="F28" s="102">
        <f>SUM(F24:F26)</f>
        <v>439.62759999999997</v>
      </c>
      <c r="G28" s="101"/>
      <c r="H28" s="102">
        <f>SUM(H24:H26)</f>
        <v>40.6</v>
      </c>
      <c r="I28" s="72"/>
    </row>
    <row r="29" spans="2:9">
      <c r="B29" s="95"/>
      <c r="C29" s="95"/>
      <c r="D29" s="93"/>
      <c r="E29" s="93"/>
      <c r="F29" s="94"/>
      <c r="G29" s="93"/>
      <c r="H29" s="93"/>
      <c r="I29" s="72"/>
    </row>
    <row r="30" spans="2:9">
      <c r="B30" s="95"/>
      <c r="C30" s="96" t="s">
        <v>72</v>
      </c>
      <c r="D30" s="93"/>
      <c r="E30" s="93">
        <v>1</v>
      </c>
      <c r="F30" s="94">
        <f>F28*13%</f>
        <v>57.151587999999997</v>
      </c>
      <c r="G30" s="93"/>
      <c r="H30" s="94">
        <f>H28*13%</f>
        <v>5.2780000000000005</v>
      </c>
      <c r="I30" s="72"/>
    </row>
    <row r="31" spans="2:9">
      <c r="B31" s="95"/>
      <c r="C31" s="96" t="s">
        <v>73</v>
      </c>
      <c r="D31" s="93"/>
      <c r="E31" s="93">
        <v>1</v>
      </c>
      <c r="F31" s="94">
        <f>F28*10%</f>
        <v>43.962760000000003</v>
      </c>
      <c r="G31" s="93"/>
      <c r="H31" s="94">
        <f>H28*10%</f>
        <v>4.0600000000000005</v>
      </c>
      <c r="I31" s="72"/>
    </row>
    <row r="32" spans="2:9">
      <c r="B32" s="95"/>
      <c r="C32" s="96"/>
      <c r="D32" s="93"/>
      <c r="E32" s="93"/>
      <c r="F32" s="94"/>
      <c r="G32" s="93"/>
      <c r="H32" s="93"/>
      <c r="I32" s="72"/>
    </row>
    <row r="33" spans="2:9">
      <c r="B33" s="95"/>
      <c r="C33" s="97" t="s">
        <v>74</v>
      </c>
      <c r="D33" s="97"/>
      <c r="E33" s="97"/>
      <c r="F33" s="98">
        <f>SUM(F28:F31)</f>
        <v>540.74194799999998</v>
      </c>
      <c r="G33" s="84"/>
      <c r="H33" s="98">
        <f>SUM(H28:H31)</f>
        <v>49.938000000000002</v>
      </c>
      <c r="I33" s="72"/>
    </row>
    <row r="34" spans="2:9">
      <c r="B34" s="95"/>
      <c r="C34" s="95"/>
      <c r="D34" s="93"/>
      <c r="E34" s="93"/>
      <c r="F34" s="94"/>
      <c r="G34" s="93"/>
      <c r="H34" s="93"/>
      <c r="I34" s="72"/>
    </row>
    <row r="35" spans="2:9">
      <c r="B35" s="95"/>
      <c r="C35" s="103" t="s">
        <v>80</v>
      </c>
      <c r="D35" s="84"/>
      <c r="E35" s="84"/>
      <c r="F35" s="104">
        <f>F21+F33</f>
        <v>2804.9259479999996</v>
      </c>
      <c r="G35" s="84"/>
      <c r="H35" s="104">
        <f>H21+H33</f>
        <v>244.14454499999999</v>
      </c>
      <c r="I35" s="72"/>
    </row>
    <row r="36" spans="2:9">
      <c r="B36" s="72"/>
      <c r="C36" s="72"/>
      <c r="D36" s="72"/>
      <c r="E36" s="72"/>
      <c r="F36" s="72"/>
      <c r="G36" s="72"/>
      <c r="H36" s="72"/>
      <c r="I36" s="72"/>
    </row>
    <row r="37" spans="2:9">
      <c r="B37" s="72"/>
      <c r="C37" s="84" t="s">
        <v>81</v>
      </c>
      <c r="D37" s="71"/>
      <c r="E37" s="93"/>
      <c r="F37" s="94"/>
      <c r="G37" s="93"/>
      <c r="H37" s="93"/>
      <c r="I37" s="72"/>
    </row>
    <row r="38" spans="2:9">
      <c r="B38" s="72"/>
      <c r="C38" s="95" t="s">
        <v>67</v>
      </c>
      <c r="D38" s="93" t="s">
        <v>68</v>
      </c>
      <c r="E38" s="93">
        <v>1</v>
      </c>
      <c r="F38" s="94">
        <v>578</v>
      </c>
      <c r="G38" s="93"/>
      <c r="H38" s="93">
        <f>33.05*1.5</f>
        <v>49.574999999999996</v>
      </c>
      <c r="I38" s="72"/>
    </row>
    <row r="39" spans="2:9">
      <c r="B39" s="72"/>
      <c r="C39" s="95" t="s">
        <v>69</v>
      </c>
      <c r="D39" s="93" t="s">
        <v>68</v>
      </c>
      <c r="E39" s="93">
        <v>1</v>
      </c>
      <c r="F39" s="94">
        <f>F38*20%</f>
        <v>115.60000000000001</v>
      </c>
      <c r="G39" s="93"/>
      <c r="H39" s="94">
        <f>H38*20%</f>
        <v>9.9149999999999991</v>
      </c>
      <c r="I39" s="72"/>
    </row>
    <row r="40" spans="2:9">
      <c r="B40" s="72"/>
      <c r="C40" s="95" t="s">
        <v>70</v>
      </c>
      <c r="D40" s="93" t="s">
        <v>68</v>
      </c>
      <c r="E40" s="93">
        <v>1</v>
      </c>
      <c r="F40" s="94">
        <f>F38*10%</f>
        <v>57.800000000000004</v>
      </c>
      <c r="G40" s="93"/>
      <c r="H40" s="94">
        <f>H38*10%</f>
        <v>4.9574999999999996</v>
      </c>
      <c r="I40" s="72"/>
    </row>
    <row r="41" spans="2:9">
      <c r="B41" s="72"/>
      <c r="C41" s="95"/>
      <c r="D41" s="93"/>
      <c r="E41" s="93"/>
      <c r="F41" s="94"/>
      <c r="G41" s="93"/>
      <c r="H41" s="94"/>
      <c r="I41" s="72"/>
    </row>
    <row r="42" spans="2:9">
      <c r="B42" s="72"/>
      <c r="C42" s="93" t="s">
        <v>71</v>
      </c>
      <c r="D42" s="93"/>
      <c r="E42" s="93"/>
      <c r="F42" s="94">
        <f>SUM(F38:F40)</f>
        <v>751.4</v>
      </c>
      <c r="G42" s="93"/>
      <c r="H42" s="94">
        <f>SUM(H38:H40)</f>
        <v>64.447499999999991</v>
      </c>
      <c r="I42" s="72"/>
    </row>
    <row r="43" spans="2:9">
      <c r="B43" s="72"/>
      <c r="C43" s="95"/>
      <c r="D43" s="93"/>
      <c r="E43" s="93"/>
      <c r="F43" s="94"/>
      <c r="G43" s="93"/>
      <c r="H43" s="93"/>
      <c r="I43" s="72"/>
    </row>
    <row r="44" spans="2:9">
      <c r="B44" s="72"/>
      <c r="C44" s="96" t="s">
        <v>72</v>
      </c>
      <c r="D44" s="93"/>
      <c r="E44" s="93">
        <v>1</v>
      </c>
      <c r="F44" s="94">
        <f>F42*13%</f>
        <v>97.682000000000002</v>
      </c>
      <c r="G44" s="93"/>
      <c r="H44" s="94">
        <f>H42*13%</f>
        <v>8.3781749999999988</v>
      </c>
      <c r="I44" s="72"/>
    </row>
    <row r="45" spans="2:9">
      <c r="B45" s="72"/>
      <c r="C45" s="96" t="s">
        <v>73</v>
      </c>
      <c r="D45" s="93"/>
      <c r="E45" s="93">
        <v>1</v>
      </c>
      <c r="F45" s="94">
        <f>F42*10%</f>
        <v>75.14</v>
      </c>
      <c r="G45" s="93"/>
      <c r="H45" s="94">
        <f>H42*10%</f>
        <v>6.4447499999999991</v>
      </c>
      <c r="I45" s="72"/>
    </row>
    <row r="46" spans="2:9">
      <c r="B46" s="72"/>
      <c r="C46" s="96"/>
      <c r="D46" s="93"/>
      <c r="E46" s="93"/>
      <c r="F46" s="94"/>
      <c r="G46" s="93"/>
      <c r="H46" s="93"/>
      <c r="I46" s="72"/>
    </row>
    <row r="47" spans="2:9">
      <c r="B47" s="72"/>
      <c r="C47" s="97" t="s">
        <v>74</v>
      </c>
      <c r="D47" s="97"/>
      <c r="E47" s="97"/>
      <c r="F47" s="98">
        <f>SUM(F42:F45)</f>
        <v>924.22199999999998</v>
      </c>
      <c r="G47" s="84"/>
      <c r="H47" s="98">
        <f>SUM(H42:H45)</f>
        <v>79.270424999999989</v>
      </c>
      <c r="I47" s="72"/>
    </row>
    <row r="48" spans="2:9">
      <c r="B48" s="72"/>
      <c r="C48" s="95"/>
      <c r="D48" s="93"/>
      <c r="E48" s="93"/>
      <c r="F48" s="94"/>
      <c r="G48" s="93"/>
      <c r="H48" s="93"/>
      <c r="I48" s="72"/>
    </row>
    <row r="49" spans="2:9">
      <c r="B49" s="72"/>
      <c r="C49" s="95" t="s">
        <v>75</v>
      </c>
      <c r="D49" s="93"/>
      <c r="E49" s="93"/>
      <c r="F49" s="94"/>
      <c r="G49" s="93"/>
      <c r="H49" s="93"/>
      <c r="I49" s="72"/>
    </row>
    <row r="50" spans="2:9">
      <c r="B50" s="72"/>
      <c r="C50" s="96" t="s">
        <v>76</v>
      </c>
      <c r="D50" s="99" t="s">
        <v>77</v>
      </c>
      <c r="E50" s="93">
        <v>1</v>
      </c>
      <c r="F50" s="94">
        <f>F47*0.15</f>
        <v>138.63329999999999</v>
      </c>
      <c r="G50" s="93"/>
      <c r="H50" s="93">
        <f>H47*0.15</f>
        <v>11.890563749999998</v>
      </c>
      <c r="I50" s="72"/>
    </row>
    <row r="51" spans="2:9">
      <c r="B51" s="72"/>
      <c r="C51" s="96"/>
      <c r="D51" s="93"/>
      <c r="E51" s="93"/>
      <c r="F51" s="94"/>
      <c r="G51" s="93"/>
      <c r="H51" s="93"/>
      <c r="I51" s="72"/>
    </row>
    <row r="52" spans="2:9">
      <c r="B52" s="72"/>
      <c r="C52" s="95" t="s">
        <v>78</v>
      </c>
      <c r="D52" s="93" t="s">
        <v>79</v>
      </c>
      <c r="E52" s="93"/>
      <c r="F52" s="94">
        <v>100</v>
      </c>
      <c r="G52" s="93"/>
      <c r="H52" s="93">
        <f>5.72*2</f>
        <v>11.44</v>
      </c>
      <c r="I52" s="72"/>
    </row>
    <row r="53" spans="2:9">
      <c r="B53" s="72"/>
      <c r="C53" s="95"/>
      <c r="D53" s="93"/>
      <c r="E53" s="93"/>
      <c r="F53" s="94"/>
      <c r="G53" s="93"/>
      <c r="H53" s="93"/>
      <c r="I53" s="72"/>
    </row>
    <row r="54" spans="2:9">
      <c r="B54" s="72"/>
      <c r="C54" s="100" t="s">
        <v>71</v>
      </c>
      <c r="D54" s="101"/>
      <c r="E54" s="101"/>
      <c r="F54" s="102">
        <f>SUM(F50:F52)</f>
        <v>238.63329999999999</v>
      </c>
      <c r="G54" s="101"/>
      <c r="H54" s="102">
        <f>SUM(H50:H52)</f>
        <v>23.330563749999996</v>
      </c>
      <c r="I54" s="72"/>
    </row>
    <row r="55" spans="2:9">
      <c r="B55" s="72"/>
      <c r="C55" s="95"/>
      <c r="D55" s="93"/>
      <c r="E55" s="93"/>
      <c r="F55" s="94"/>
      <c r="G55" s="93"/>
      <c r="H55" s="93"/>
      <c r="I55" s="72"/>
    </row>
    <row r="56" spans="2:9">
      <c r="B56" s="72"/>
      <c r="C56" s="96" t="s">
        <v>72</v>
      </c>
      <c r="D56" s="93"/>
      <c r="E56" s="93">
        <v>1</v>
      </c>
      <c r="F56" s="94">
        <f>F54*13%</f>
        <v>31.022328999999999</v>
      </c>
      <c r="G56" s="93"/>
      <c r="H56" s="94">
        <f>H54*13%</f>
        <v>3.0329732874999995</v>
      </c>
      <c r="I56" s="72"/>
    </row>
    <row r="57" spans="2:9">
      <c r="B57" s="72"/>
      <c r="C57" s="96" t="s">
        <v>73</v>
      </c>
      <c r="D57" s="93"/>
      <c r="E57" s="93">
        <v>1</v>
      </c>
      <c r="F57" s="94">
        <f>F54*10%</f>
        <v>23.863330000000001</v>
      </c>
      <c r="G57" s="93"/>
      <c r="H57" s="94">
        <f>H54*10%</f>
        <v>2.3330563749999995</v>
      </c>
      <c r="I57" s="72"/>
    </row>
    <row r="58" spans="2:9">
      <c r="B58" s="72"/>
      <c r="C58" s="96"/>
      <c r="D58" s="93"/>
      <c r="E58" s="93"/>
      <c r="F58" s="94"/>
      <c r="G58" s="93"/>
      <c r="H58" s="93"/>
      <c r="I58" s="72"/>
    </row>
    <row r="59" spans="2:9">
      <c r="B59" s="72"/>
      <c r="C59" s="97" t="s">
        <v>74</v>
      </c>
      <c r="D59" s="97"/>
      <c r="E59" s="97"/>
      <c r="F59" s="98">
        <f>SUM(F54:F57)</f>
        <v>293.518959</v>
      </c>
      <c r="G59" s="84"/>
      <c r="H59" s="98">
        <f>SUM(H54:H57)</f>
        <v>28.696593412499993</v>
      </c>
      <c r="I59" s="72"/>
    </row>
    <row r="60" spans="2:9">
      <c r="B60" s="72"/>
      <c r="C60" s="95"/>
      <c r="D60" s="93"/>
      <c r="E60" s="93"/>
      <c r="F60" s="94"/>
      <c r="G60" s="93"/>
      <c r="H60" s="93"/>
      <c r="I60" s="72"/>
    </row>
    <row r="61" spans="2:9">
      <c r="B61" s="72"/>
      <c r="C61" s="103" t="s">
        <v>80</v>
      </c>
      <c r="D61" s="84"/>
      <c r="E61" s="84"/>
      <c r="F61" s="104">
        <f>F47+F59</f>
        <v>1217.740959</v>
      </c>
      <c r="G61" s="84"/>
      <c r="H61" s="104">
        <f>H47+H59</f>
        <v>107.96701841249998</v>
      </c>
      <c r="I61" s="72"/>
    </row>
    <row r="62" spans="2:9">
      <c r="B62" s="72"/>
      <c r="C62" s="72"/>
      <c r="D62" s="72"/>
      <c r="E62" s="72"/>
      <c r="F62" s="72"/>
      <c r="G62" s="72"/>
      <c r="H62" s="72"/>
      <c r="I62" s="72"/>
    </row>
    <row r="63" spans="2:9">
      <c r="B63" s="72"/>
      <c r="C63" s="72"/>
      <c r="D63" s="72"/>
      <c r="E63" s="72"/>
      <c r="F63" s="72"/>
      <c r="G63" s="72"/>
      <c r="H63" s="72"/>
      <c r="I63" s="72"/>
    </row>
    <row r="64" spans="2:9">
      <c r="B64" s="72"/>
      <c r="C64" s="84" t="s">
        <v>82</v>
      </c>
      <c r="D64" s="71"/>
      <c r="E64" s="93"/>
      <c r="F64" s="94"/>
      <c r="G64" s="93"/>
      <c r="H64" s="93"/>
      <c r="I64" s="72"/>
    </row>
    <row r="65" spans="2:9">
      <c r="B65" s="72"/>
      <c r="C65" s="95" t="s">
        <v>67</v>
      </c>
      <c r="D65" s="93" t="s">
        <v>68</v>
      </c>
      <c r="E65" s="93">
        <v>1</v>
      </c>
      <c r="F65" s="94">
        <v>578</v>
      </c>
      <c r="G65" s="93"/>
      <c r="H65" s="93">
        <f>33.05*1.5</f>
        <v>49.574999999999996</v>
      </c>
      <c r="I65" s="72"/>
    </row>
    <row r="66" spans="2:9">
      <c r="B66" s="72"/>
      <c r="C66" s="95" t="s">
        <v>69</v>
      </c>
      <c r="D66" s="93" t="s">
        <v>68</v>
      </c>
      <c r="E66" s="93">
        <v>1</v>
      </c>
      <c r="F66" s="94">
        <f>F65*20%</f>
        <v>115.60000000000001</v>
      </c>
      <c r="G66" s="93"/>
      <c r="H66" s="94">
        <f>H65*20%</f>
        <v>9.9149999999999991</v>
      </c>
      <c r="I66" s="72"/>
    </row>
    <row r="67" spans="2:9">
      <c r="B67" s="72"/>
      <c r="C67" s="95" t="s">
        <v>70</v>
      </c>
      <c r="D67" s="93" t="s">
        <v>68</v>
      </c>
      <c r="E67" s="93">
        <v>1</v>
      </c>
      <c r="F67" s="94">
        <f>F65*10%</f>
        <v>57.800000000000004</v>
      </c>
      <c r="G67" s="93"/>
      <c r="H67" s="94">
        <f>H65*10%</f>
        <v>4.9574999999999996</v>
      </c>
      <c r="I67" s="72"/>
    </row>
    <row r="68" spans="2:9">
      <c r="B68" s="72"/>
      <c r="C68" s="95"/>
      <c r="D68" s="93"/>
      <c r="E68" s="93"/>
      <c r="F68" s="94"/>
      <c r="G68" s="93"/>
      <c r="H68" s="94"/>
      <c r="I68" s="72"/>
    </row>
    <row r="69" spans="2:9">
      <c r="B69" s="72"/>
      <c r="C69" s="93" t="s">
        <v>71</v>
      </c>
      <c r="D69" s="93"/>
      <c r="E69" s="93"/>
      <c r="F69" s="94">
        <f>SUM(F65:F67)</f>
        <v>751.4</v>
      </c>
      <c r="G69" s="93"/>
      <c r="H69" s="94">
        <f>SUM(H65:H67)</f>
        <v>64.447499999999991</v>
      </c>
      <c r="I69" s="72"/>
    </row>
    <row r="70" spans="2:9">
      <c r="B70" s="72"/>
      <c r="C70" s="95"/>
      <c r="D70" s="93"/>
      <c r="E70" s="93"/>
      <c r="F70" s="94"/>
      <c r="G70" s="93"/>
      <c r="H70" s="93"/>
      <c r="I70" s="72"/>
    </row>
    <row r="71" spans="2:9">
      <c r="B71" s="72"/>
      <c r="C71" s="96" t="s">
        <v>72</v>
      </c>
      <c r="D71" s="93"/>
      <c r="E71" s="93">
        <v>1</v>
      </c>
      <c r="F71" s="94">
        <f>F69*13%</f>
        <v>97.682000000000002</v>
      </c>
      <c r="G71" s="93"/>
      <c r="H71" s="94">
        <f>H69*13%</f>
        <v>8.3781749999999988</v>
      </c>
      <c r="I71" s="72"/>
    </row>
    <row r="72" spans="2:9">
      <c r="B72" s="72"/>
      <c r="C72" s="96" t="s">
        <v>73</v>
      </c>
      <c r="D72" s="93"/>
      <c r="E72" s="93">
        <v>1</v>
      </c>
      <c r="F72" s="94">
        <f>F69*10%</f>
        <v>75.14</v>
      </c>
      <c r="G72" s="93"/>
      <c r="H72" s="94">
        <f>H69*10%</f>
        <v>6.4447499999999991</v>
      </c>
      <c r="I72" s="72"/>
    </row>
    <row r="73" spans="2:9">
      <c r="B73" s="72"/>
      <c r="C73" s="96"/>
      <c r="D73" s="93"/>
      <c r="E73" s="93"/>
      <c r="F73" s="94"/>
      <c r="G73" s="93"/>
      <c r="H73" s="93"/>
      <c r="I73" s="72"/>
    </row>
    <row r="74" spans="2:9">
      <c r="B74" s="72"/>
      <c r="C74" s="97" t="s">
        <v>74</v>
      </c>
      <c r="D74" s="97"/>
      <c r="E74" s="97"/>
      <c r="F74" s="98">
        <f>SUM(F69:F72)</f>
        <v>924.22199999999998</v>
      </c>
      <c r="G74" s="84"/>
      <c r="H74" s="98">
        <f>SUM(H69:H72)</f>
        <v>79.270424999999989</v>
      </c>
      <c r="I74" s="72"/>
    </row>
    <row r="75" spans="2:9">
      <c r="B75" s="72"/>
      <c r="C75" s="95"/>
      <c r="D75" s="93"/>
      <c r="E75" s="93"/>
      <c r="F75" s="94"/>
      <c r="G75" s="93"/>
      <c r="H75" s="93"/>
      <c r="I75" s="72"/>
    </row>
    <row r="76" spans="2:9">
      <c r="B76" s="72"/>
      <c r="C76" s="95" t="s">
        <v>75</v>
      </c>
      <c r="D76" s="93"/>
      <c r="E76" s="93"/>
      <c r="F76" s="94"/>
      <c r="G76" s="93"/>
      <c r="H76" s="93"/>
      <c r="I76" s="72"/>
    </row>
    <row r="77" spans="2:9">
      <c r="B77" s="72"/>
      <c r="C77" s="96" t="s">
        <v>76</v>
      </c>
      <c r="D77" s="99" t="s">
        <v>77</v>
      </c>
      <c r="E77" s="93">
        <v>1</v>
      </c>
      <c r="F77" s="94">
        <f>F74*0.12</f>
        <v>110.90664</v>
      </c>
      <c r="G77" s="93"/>
      <c r="H77" s="93">
        <f>H74*0.12</f>
        <v>9.5124509999999987</v>
      </c>
      <c r="I77" s="72"/>
    </row>
    <row r="78" spans="2:9">
      <c r="B78" s="72"/>
      <c r="C78" s="96"/>
      <c r="D78" s="93"/>
      <c r="E78" s="93"/>
      <c r="F78" s="94"/>
      <c r="G78" s="93"/>
      <c r="H78" s="93"/>
      <c r="I78" s="72"/>
    </row>
    <row r="79" spans="2:9">
      <c r="B79" s="72"/>
      <c r="C79" s="95" t="s">
        <v>78</v>
      </c>
      <c r="D79" s="93" t="s">
        <v>79</v>
      </c>
      <c r="E79" s="93"/>
      <c r="F79" s="94">
        <v>100</v>
      </c>
      <c r="G79" s="93"/>
      <c r="H79" s="93">
        <f>5.72*2</f>
        <v>11.44</v>
      </c>
      <c r="I79" s="72"/>
    </row>
    <row r="80" spans="2:9">
      <c r="B80" s="72"/>
      <c r="C80" s="95"/>
      <c r="D80" s="93"/>
      <c r="E80" s="93"/>
      <c r="F80" s="94"/>
      <c r="G80" s="93"/>
      <c r="H80" s="93"/>
      <c r="I80" s="72"/>
    </row>
    <row r="81" spans="2:9">
      <c r="B81" s="72"/>
      <c r="C81" s="100" t="s">
        <v>71</v>
      </c>
      <c r="D81" s="101"/>
      <c r="E81" s="101"/>
      <c r="F81" s="102">
        <f>SUM(F77:F79)</f>
        <v>210.90663999999998</v>
      </c>
      <c r="G81" s="101"/>
      <c r="H81" s="102">
        <f>SUM(H77:H79)</f>
        <v>20.952450999999996</v>
      </c>
      <c r="I81" s="72"/>
    </row>
    <row r="82" spans="2:9">
      <c r="B82" s="72"/>
      <c r="C82" s="95"/>
      <c r="D82" s="93"/>
      <c r="E82" s="93"/>
      <c r="F82" s="94"/>
      <c r="G82" s="93"/>
      <c r="H82" s="93"/>
      <c r="I82" s="72"/>
    </row>
    <row r="83" spans="2:9">
      <c r="B83" s="72"/>
      <c r="C83" s="96" t="s">
        <v>72</v>
      </c>
      <c r="D83" s="93"/>
      <c r="E83" s="93">
        <v>1</v>
      </c>
      <c r="F83" s="94">
        <f>F81*13%</f>
        <v>27.417863199999999</v>
      </c>
      <c r="G83" s="93"/>
      <c r="H83" s="94">
        <f>H81*13%</f>
        <v>2.7238186299999998</v>
      </c>
      <c r="I83" s="72"/>
    </row>
    <row r="84" spans="2:9">
      <c r="B84" s="72"/>
      <c r="C84" s="96" t="s">
        <v>73</v>
      </c>
      <c r="D84" s="93"/>
      <c r="E84" s="93">
        <v>1</v>
      </c>
      <c r="F84" s="94">
        <f>F81*10%</f>
        <v>21.090664</v>
      </c>
      <c r="G84" s="93"/>
      <c r="H84" s="94">
        <f>H81*10%</f>
        <v>2.0952450999999996</v>
      </c>
      <c r="I84" s="72"/>
    </row>
    <row r="85" spans="2:9">
      <c r="B85" s="72"/>
      <c r="C85" s="96"/>
      <c r="D85" s="93"/>
      <c r="E85" s="93"/>
      <c r="F85" s="94"/>
      <c r="G85" s="93"/>
      <c r="H85" s="93"/>
      <c r="I85" s="72"/>
    </row>
    <row r="86" spans="2:9">
      <c r="B86" s="72"/>
      <c r="C86" s="97" t="s">
        <v>74</v>
      </c>
      <c r="D86" s="97"/>
      <c r="E86" s="97"/>
      <c r="F86" s="98">
        <f>SUM(F81:F84)</f>
        <v>259.41516719999998</v>
      </c>
      <c r="G86" s="84"/>
      <c r="H86" s="98">
        <f>SUM(H81:H84)</f>
        <v>25.771514729999996</v>
      </c>
      <c r="I86" s="72"/>
    </row>
    <row r="87" spans="2:9">
      <c r="B87" s="72"/>
      <c r="C87" s="95"/>
      <c r="D87" s="93"/>
      <c r="E87" s="93"/>
      <c r="F87" s="94"/>
      <c r="G87" s="93"/>
      <c r="H87" s="93"/>
      <c r="I87" s="72"/>
    </row>
    <row r="88" spans="2:9">
      <c r="B88" s="72"/>
      <c r="C88" s="103" t="s">
        <v>80</v>
      </c>
      <c r="D88" s="84"/>
      <c r="E88" s="84"/>
      <c r="F88" s="104">
        <f>F74+F86</f>
        <v>1183.6371672</v>
      </c>
      <c r="G88" s="84"/>
      <c r="H88" s="104">
        <f>H74+H86</f>
        <v>105.04193972999998</v>
      </c>
      <c r="I88" s="72"/>
    </row>
    <row r="89" spans="2:9">
      <c r="B89" s="72"/>
      <c r="C89" s="72"/>
      <c r="D89" s="72"/>
      <c r="E89" s="72"/>
      <c r="F89" s="72"/>
      <c r="G89" s="72"/>
      <c r="H89" s="72"/>
      <c r="I89" s="72"/>
    </row>
    <row r="90" spans="2:9" ht="30">
      <c r="B90" s="106">
        <v>1.3</v>
      </c>
      <c r="C90" s="176" t="s">
        <v>83</v>
      </c>
      <c r="D90" s="107" t="s">
        <v>84</v>
      </c>
      <c r="E90" s="107">
        <v>8</v>
      </c>
      <c r="F90" s="108"/>
      <c r="G90" s="72"/>
      <c r="H90" s="72"/>
      <c r="I90" s="72"/>
    </row>
    <row r="91" spans="2:9">
      <c r="B91" s="72"/>
      <c r="C91" s="95" t="s">
        <v>67</v>
      </c>
      <c r="D91" s="93" t="s">
        <v>68</v>
      </c>
      <c r="E91" s="93">
        <v>1</v>
      </c>
      <c r="F91" s="94">
        <v>28856</v>
      </c>
      <c r="G91" s="93"/>
      <c r="H91" s="93">
        <v>1650</v>
      </c>
      <c r="I91" s="72"/>
    </row>
    <row r="92" spans="2:9">
      <c r="B92" s="72"/>
      <c r="C92" s="95" t="s">
        <v>69</v>
      </c>
      <c r="D92" s="93" t="s">
        <v>68</v>
      </c>
      <c r="E92" s="93">
        <v>1</v>
      </c>
      <c r="F92" s="94">
        <f>F91*20%</f>
        <v>5771.2000000000007</v>
      </c>
      <c r="G92" s="93"/>
      <c r="H92" s="94">
        <f>H91*20%</f>
        <v>330</v>
      </c>
      <c r="I92" s="72"/>
    </row>
    <row r="93" spans="2:9">
      <c r="B93" s="72"/>
      <c r="C93" s="95" t="s">
        <v>70</v>
      </c>
      <c r="D93" s="93" t="s">
        <v>68</v>
      </c>
      <c r="E93" s="93">
        <v>1</v>
      </c>
      <c r="F93" s="94">
        <f>F91*10%</f>
        <v>2885.6000000000004</v>
      </c>
      <c r="G93" s="93"/>
      <c r="H93" s="94">
        <f>H91*10%</f>
        <v>165</v>
      </c>
      <c r="I93" s="72"/>
    </row>
    <row r="94" spans="2:9">
      <c r="B94" s="72"/>
      <c r="C94" s="95"/>
      <c r="D94" s="93"/>
      <c r="E94" s="93"/>
      <c r="F94" s="94"/>
      <c r="G94" s="93"/>
      <c r="H94" s="94"/>
      <c r="I94" s="72"/>
    </row>
    <row r="95" spans="2:9">
      <c r="B95" s="72"/>
      <c r="C95" s="93" t="s">
        <v>71</v>
      </c>
      <c r="D95" s="93"/>
      <c r="E95" s="93"/>
      <c r="F95" s="94">
        <f>SUM(F91:F93)</f>
        <v>37512.799999999996</v>
      </c>
      <c r="G95" s="93"/>
      <c r="H95" s="94">
        <f>SUM(H91:H93)</f>
        <v>2145</v>
      </c>
      <c r="I95" s="72"/>
    </row>
    <row r="96" spans="2:9">
      <c r="B96" s="72"/>
      <c r="C96" s="95"/>
      <c r="D96" s="93"/>
      <c r="E96" s="93"/>
      <c r="F96" s="94"/>
      <c r="G96" s="93"/>
      <c r="H96" s="93"/>
      <c r="I96" s="72"/>
    </row>
    <row r="97" spans="2:9">
      <c r="B97" s="72"/>
      <c r="C97" s="96" t="s">
        <v>72</v>
      </c>
      <c r="D97" s="93"/>
      <c r="E97" s="93">
        <v>1</v>
      </c>
      <c r="F97" s="94">
        <f>F95*13%</f>
        <v>4876.6639999999998</v>
      </c>
      <c r="G97" s="93"/>
      <c r="H97" s="94">
        <f>H95*13%</f>
        <v>278.85000000000002</v>
      </c>
      <c r="I97" s="72"/>
    </row>
    <row r="98" spans="2:9">
      <c r="B98" s="72"/>
      <c r="C98" s="96" t="s">
        <v>73</v>
      </c>
      <c r="D98" s="93"/>
      <c r="E98" s="93">
        <v>1</v>
      </c>
      <c r="F98" s="94">
        <f>F95*10%</f>
        <v>3751.2799999999997</v>
      </c>
      <c r="G98" s="93"/>
      <c r="H98" s="94">
        <f>H95*10%</f>
        <v>214.5</v>
      </c>
      <c r="I98" s="72"/>
    </row>
    <row r="99" spans="2:9">
      <c r="B99" s="72"/>
      <c r="C99" s="96"/>
      <c r="D99" s="93"/>
      <c r="E99" s="93"/>
      <c r="F99" s="94"/>
      <c r="G99" s="93"/>
      <c r="H99" s="93"/>
      <c r="I99" s="72"/>
    </row>
    <row r="100" spans="2:9">
      <c r="B100" s="72"/>
      <c r="C100" s="97" t="s">
        <v>74</v>
      </c>
      <c r="D100" s="97"/>
      <c r="E100" s="97"/>
      <c r="F100" s="98">
        <f>SUM(F95:F98)</f>
        <v>46140.743999999992</v>
      </c>
      <c r="G100" s="84"/>
      <c r="H100" s="98">
        <f>SUM(H95:H98)</f>
        <v>2638.35</v>
      </c>
      <c r="I100" s="72"/>
    </row>
    <row r="101" spans="2:9">
      <c r="B101" s="72"/>
      <c r="C101" s="95"/>
      <c r="D101" s="93"/>
      <c r="E101" s="93"/>
      <c r="F101" s="94"/>
      <c r="G101" s="93"/>
      <c r="H101" s="93"/>
      <c r="I101" s="72"/>
    </row>
    <row r="102" spans="2:9">
      <c r="B102" s="72"/>
      <c r="C102" s="95" t="s">
        <v>75</v>
      </c>
      <c r="D102" s="93"/>
      <c r="E102" s="93"/>
      <c r="F102" s="94"/>
      <c r="G102" s="93"/>
      <c r="H102" s="93"/>
      <c r="I102" s="72"/>
    </row>
    <row r="103" spans="2:9">
      <c r="B103" s="72"/>
      <c r="C103" s="96" t="s">
        <v>76</v>
      </c>
      <c r="D103" s="99" t="s">
        <v>77</v>
      </c>
      <c r="E103" s="93">
        <v>1</v>
      </c>
      <c r="F103" s="94">
        <f>F100*0.12</f>
        <v>5536.8892799999985</v>
      </c>
      <c r="G103" s="93"/>
      <c r="H103" s="93">
        <f>H100*0.12</f>
        <v>316.60199999999998</v>
      </c>
      <c r="I103" s="72"/>
    </row>
    <row r="104" spans="2:9">
      <c r="B104" s="72"/>
      <c r="C104" s="96"/>
      <c r="D104" s="93"/>
      <c r="E104" s="93"/>
      <c r="F104" s="94"/>
      <c r="G104" s="93"/>
      <c r="H104" s="93"/>
      <c r="I104" s="72"/>
    </row>
    <row r="105" spans="2:9">
      <c r="B105" s="72"/>
      <c r="C105" s="95" t="s">
        <v>78</v>
      </c>
      <c r="D105" s="93" t="s">
        <v>79</v>
      </c>
      <c r="E105" s="93"/>
      <c r="F105" s="94">
        <v>50</v>
      </c>
      <c r="G105" s="93"/>
      <c r="H105" s="93">
        <f>5.72</f>
        <v>5.72</v>
      </c>
      <c r="I105" s="72"/>
    </row>
    <row r="106" spans="2:9">
      <c r="B106" s="72"/>
      <c r="C106" s="95"/>
      <c r="D106" s="93"/>
      <c r="E106" s="93"/>
      <c r="F106" s="94"/>
      <c r="G106" s="93"/>
      <c r="H106" s="93"/>
      <c r="I106" s="72"/>
    </row>
    <row r="107" spans="2:9">
      <c r="B107" s="72"/>
      <c r="C107" s="100" t="s">
        <v>71</v>
      </c>
      <c r="D107" s="101"/>
      <c r="E107" s="101"/>
      <c r="F107" s="102">
        <f>SUM(F103:F105)</f>
        <v>5586.8892799999985</v>
      </c>
      <c r="G107" s="101"/>
      <c r="H107" s="102">
        <f>SUM(H103:H105)</f>
        <v>322.322</v>
      </c>
      <c r="I107" s="72"/>
    </row>
    <row r="108" spans="2:9">
      <c r="B108" s="72"/>
      <c r="C108" s="95"/>
      <c r="D108" s="93"/>
      <c r="E108" s="93"/>
      <c r="F108" s="94"/>
      <c r="G108" s="93"/>
      <c r="H108" s="93"/>
      <c r="I108" s="72"/>
    </row>
    <row r="109" spans="2:9">
      <c r="B109" s="72"/>
      <c r="C109" s="96" t="s">
        <v>72</v>
      </c>
      <c r="D109" s="93"/>
      <c r="E109" s="93">
        <v>1</v>
      </c>
      <c r="F109" s="94">
        <f>F107*13%</f>
        <v>726.29560639999988</v>
      </c>
      <c r="G109" s="93"/>
      <c r="H109" s="94">
        <f>H107*13%</f>
        <v>41.901859999999999</v>
      </c>
      <c r="I109" s="72"/>
    </row>
    <row r="110" spans="2:9">
      <c r="B110" s="72"/>
      <c r="C110" s="96" t="s">
        <v>73</v>
      </c>
      <c r="D110" s="93"/>
      <c r="E110" s="93">
        <v>1</v>
      </c>
      <c r="F110" s="94">
        <f>F107*10%</f>
        <v>558.68892799999992</v>
      </c>
      <c r="G110" s="93"/>
      <c r="H110" s="94">
        <f>H107*10%</f>
        <v>32.232199999999999</v>
      </c>
      <c r="I110" s="72"/>
    </row>
    <row r="111" spans="2:9">
      <c r="B111" s="72"/>
      <c r="C111" s="96"/>
      <c r="D111" s="93"/>
      <c r="E111" s="93"/>
      <c r="F111" s="94"/>
      <c r="G111" s="93"/>
      <c r="H111" s="93"/>
      <c r="I111" s="72"/>
    </row>
    <row r="112" spans="2:9">
      <c r="B112" s="72"/>
      <c r="C112" s="97" t="s">
        <v>74</v>
      </c>
      <c r="D112" s="97"/>
      <c r="E112" s="97"/>
      <c r="F112" s="98">
        <f>SUM(F107:F110)</f>
        <v>6871.8738143999981</v>
      </c>
      <c r="G112" s="84"/>
      <c r="H112" s="98">
        <f>SUM(H107:H110)</f>
        <v>396.45605999999998</v>
      </c>
      <c r="I112" s="72"/>
    </row>
    <row r="113" spans="2:9">
      <c r="B113" s="72"/>
      <c r="C113" s="95"/>
      <c r="D113" s="93"/>
      <c r="E113" s="93"/>
      <c r="F113" s="94"/>
      <c r="G113" s="93"/>
      <c r="H113" s="93"/>
      <c r="I113" s="72"/>
    </row>
    <row r="114" spans="2:9">
      <c r="B114" s="72"/>
      <c r="C114" s="103" t="s">
        <v>80</v>
      </c>
      <c r="D114" s="84"/>
      <c r="E114" s="84"/>
      <c r="F114" s="104">
        <f>F100+F112</f>
        <v>53012.617814399986</v>
      </c>
      <c r="G114" s="84"/>
      <c r="H114" s="104">
        <f>H100+H112</f>
        <v>3034.8060599999999</v>
      </c>
      <c r="I114" s="72"/>
    </row>
  </sheetData>
  <mergeCells count="2">
    <mergeCell ref="C4:I4"/>
    <mergeCell ref="C5: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E7283-16AD-4564-B3DC-D0809707DE83}">
  <dimension ref="A1:F144"/>
  <sheetViews>
    <sheetView tabSelected="1" zoomScale="95" zoomScaleNormal="95" workbookViewId="0">
      <selection sqref="A1:F1048576"/>
    </sheetView>
  </sheetViews>
  <sheetFormatPr defaultRowHeight="15"/>
  <cols>
    <col min="1" max="1" width="10.28515625" style="389" bestFit="1" customWidth="1"/>
    <col min="2" max="2" width="56.42578125" style="666" customWidth="1"/>
    <col min="3" max="3" width="9.28515625" style="667" bestFit="1" customWidth="1"/>
    <col min="4" max="4" width="8.42578125" style="668" bestFit="1" customWidth="1"/>
    <col min="5" max="5" width="9.42578125" style="669" bestFit="1" customWidth="1"/>
    <col min="6" max="6" width="25.28515625" style="669" customWidth="1"/>
  </cols>
  <sheetData>
    <row r="1" spans="1:6">
      <c r="A1" s="385" t="s">
        <v>85</v>
      </c>
      <c r="B1" s="619" t="s">
        <v>86</v>
      </c>
      <c r="C1" s="620" t="s">
        <v>87</v>
      </c>
      <c r="D1" s="621" t="s">
        <v>88</v>
      </c>
      <c r="E1" s="622" t="s">
        <v>699</v>
      </c>
      <c r="F1" s="622" t="s">
        <v>700</v>
      </c>
    </row>
    <row r="2" spans="1:6" ht="15" customHeight="1">
      <c r="A2" s="386">
        <v>1</v>
      </c>
      <c r="B2" s="623" t="s">
        <v>89</v>
      </c>
      <c r="C2" s="624"/>
      <c r="D2" s="625"/>
      <c r="E2" s="626"/>
      <c r="F2" s="626">
        <f>E2*D2</f>
        <v>0</v>
      </c>
    </row>
    <row r="3" spans="1:6" ht="15" customHeight="1">
      <c r="A3" s="385">
        <v>1.1000000000000001</v>
      </c>
      <c r="B3" s="623" t="s">
        <v>90</v>
      </c>
      <c r="C3" s="624"/>
      <c r="D3" s="627"/>
      <c r="E3" s="626"/>
      <c r="F3" s="626">
        <f t="shared" ref="F3:F6" si="0">E3*D3</f>
        <v>0</v>
      </c>
    </row>
    <row r="4" spans="1:6" ht="168">
      <c r="A4" s="387"/>
      <c r="B4" s="628" t="s">
        <v>701</v>
      </c>
      <c r="C4" s="629"/>
      <c r="D4" s="627"/>
      <c r="E4" s="626"/>
      <c r="F4" s="626">
        <f t="shared" si="0"/>
        <v>0</v>
      </c>
    </row>
    <row r="5" spans="1:6" ht="21" customHeight="1">
      <c r="A5" s="387" t="s">
        <v>300</v>
      </c>
      <c r="B5" s="628" t="s">
        <v>547</v>
      </c>
      <c r="C5" s="629" t="s">
        <v>92</v>
      </c>
      <c r="D5" s="630">
        <v>1</v>
      </c>
      <c r="E5" s="626"/>
      <c r="F5" s="626">
        <f t="shared" si="0"/>
        <v>0</v>
      </c>
    </row>
    <row r="6" spans="1:6" ht="21" customHeight="1">
      <c r="A6" s="387" t="s">
        <v>91</v>
      </c>
      <c r="B6" s="628" t="s">
        <v>548</v>
      </c>
      <c r="C6" s="631" t="s">
        <v>92</v>
      </c>
      <c r="D6" s="630">
        <v>1</v>
      </c>
      <c r="E6" s="626"/>
      <c r="F6" s="626">
        <f t="shared" si="0"/>
        <v>0</v>
      </c>
    </row>
    <row r="7" spans="1:6" ht="21" customHeight="1">
      <c r="A7" s="385"/>
      <c r="B7" s="632"/>
      <c r="C7" s="633"/>
      <c r="D7" s="627"/>
      <c r="E7" s="626"/>
      <c r="F7" s="634"/>
    </row>
    <row r="8" spans="1:6" ht="15" customHeight="1">
      <c r="A8" s="385"/>
      <c r="B8" s="632"/>
      <c r="C8" s="633"/>
      <c r="D8" s="627"/>
      <c r="E8" s="626"/>
      <c r="F8" s="634"/>
    </row>
    <row r="9" spans="1:6">
      <c r="A9" s="385">
        <v>1.2</v>
      </c>
      <c r="B9" s="635" t="s">
        <v>535</v>
      </c>
      <c r="C9" s="624"/>
      <c r="D9" s="630"/>
      <c r="E9" s="626"/>
      <c r="F9" s="626">
        <f t="shared" ref="F9:F40" si="1">E9*D9</f>
        <v>0</v>
      </c>
    </row>
    <row r="10" spans="1:6" ht="15" customHeight="1">
      <c r="A10" s="385"/>
      <c r="B10" s="635" t="s">
        <v>270</v>
      </c>
      <c r="C10" s="624"/>
      <c r="D10" s="630"/>
      <c r="E10" s="626"/>
      <c r="F10" s="626">
        <f t="shared" si="1"/>
        <v>0</v>
      </c>
    </row>
    <row r="11" spans="1:6" ht="189">
      <c r="A11" s="387"/>
      <c r="B11" s="628" t="s">
        <v>662</v>
      </c>
      <c r="C11" s="636"/>
      <c r="D11" s="637"/>
      <c r="E11" s="626"/>
      <c r="F11" s="626">
        <f t="shared" si="1"/>
        <v>0</v>
      </c>
    </row>
    <row r="12" spans="1:6" ht="22.5">
      <c r="A12" s="388"/>
      <c r="B12" s="638" t="s">
        <v>269</v>
      </c>
      <c r="C12" s="639"/>
      <c r="D12" s="639"/>
      <c r="E12" s="626"/>
      <c r="F12" s="626">
        <f t="shared" si="1"/>
        <v>0</v>
      </c>
    </row>
    <row r="13" spans="1:6">
      <c r="A13" s="388"/>
      <c r="B13" s="638" t="s">
        <v>350</v>
      </c>
      <c r="C13" s="639"/>
      <c r="D13" s="639"/>
      <c r="E13" s="626"/>
      <c r="F13" s="626">
        <f t="shared" si="1"/>
        <v>0</v>
      </c>
    </row>
    <row r="14" spans="1:6">
      <c r="A14" s="388" t="s">
        <v>301</v>
      </c>
      <c r="B14" s="640" t="s">
        <v>629</v>
      </c>
      <c r="C14" s="639" t="s">
        <v>229</v>
      </c>
      <c r="D14" s="639">
        <v>1</v>
      </c>
      <c r="E14" s="626"/>
      <c r="F14" s="626">
        <f t="shared" si="1"/>
        <v>0</v>
      </c>
    </row>
    <row r="15" spans="1:6">
      <c r="A15" s="388">
        <v>1.3</v>
      </c>
      <c r="B15" s="638" t="s">
        <v>285</v>
      </c>
      <c r="C15" s="639"/>
      <c r="D15" s="639"/>
      <c r="E15" s="626"/>
      <c r="F15" s="626">
        <f t="shared" si="1"/>
        <v>0</v>
      </c>
    </row>
    <row r="16" spans="1:6" ht="283.5" customHeight="1">
      <c r="A16" s="387"/>
      <c r="B16" s="628" t="s">
        <v>702</v>
      </c>
      <c r="C16" s="636"/>
      <c r="D16" s="637"/>
      <c r="E16" s="626"/>
      <c r="F16" s="626">
        <f t="shared" si="1"/>
        <v>0</v>
      </c>
    </row>
    <row r="17" spans="1:6">
      <c r="A17" s="387" t="s">
        <v>94</v>
      </c>
      <c r="B17" s="628" t="s">
        <v>630</v>
      </c>
      <c r="C17" s="641" t="s">
        <v>92</v>
      </c>
      <c r="D17" s="642">
        <v>1</v>
      </c>
      <c r="E17" s="626"/>
      <c r="F17" s="626">
        <f t="shared" si="1"/>
        <v>0</v>
      </c>
    </row>
    <row r="18" spans="1:6">
      <c r="A18" s="387" t="s">
        <v>95</v>
      </c>
      <c r="B18" s="628" t="s">
        <v>639</v>
      </c>
      <c r="C18" s="641" t="s">
        <v>92</v>
      </c>
      <c r="D18" s="642">
        <v>2</v>
      </c>
      <c r="E18" s="626"/>
      <c r="F18" s="626">
        <f t="shared" si="1"/>
        <v>0</v>
      </c>
    </row>
    <row r="19" spans="1:6">
      <c r="A19" s="387" t="s">
        <v>96</v>
      </c>
      <c r="B19" s="628" t="s">
        <v>640</v>
      </c>
      <c r="C19" s="641" t="s">
        <v>92</v>
      </c>
      <c r="D19" s="642">
        <v>1</v>
      </c>
      <c r="E19" s="626"/>
      <c r="F19" s="626">
        <f t="shared" si="1"/>
        <v>0</v>
      </c>
    </row>
    <row r="20" spans="1:6">
      <c r="A20" s="387" t="s">
        <v>97</v>
      </c>
      <c r="B20" s="628" t="s">
        <v>641</v>
      </c>
      <c r="C20" s="641" t="s">
        <v>92</v>
      </c>
      <c r="D20" s="642">
        <v>1</v>
      </c>
      <c r="E20" s="626"/>
      <c r="F20" s="626">
        <f t="shared" si="1"/>
        <v>0</v>
      </c>
    </row>
    <row r="21" spans="1:6">
      <c r="A21" s="387">
        <v>1.4</v>
      </c>
      <c r="B21" s="635" t="s">
        <v>271</v>
      </c>
      <c r="C21" s="641"/>
      <c r="D21" s="643"/>
      <c r="E21" s="626"/>
      <c r="F21" s="626">
        <f t="shared" si="1"/>
        <v>0</v>
      </c>
    </row>
    <row r="22" spans="1:6" ht="199.5" customHeight="1">
      <c r="A22" s="387"/>
      <c r="B22" s="628" t="s">
        <v>703</v>
      </c>
      <c r="C22" s="636"/>
      <c r="D22" s="637"/>
      <c r="E22" s="626"/>
      <c r="F22" s="626">
        <f t="shared" si="1"/>
        <v>0</v>
      </c>
    </row>
    <row r="23" spans="1:6" ht="21" customHeight="1">
      <c r="A23" s="385" t="s">
        <v>98</v>
      </c>
      <c r="B23" s="628" t="s">
        <v>631</v>
      </c>
      <c r="C23" s="636" t="s">
        <v>92</v>
      </c>
      <c r="D23" s="639">
        <v>2</v>
      </c>
      <c r="E23" s="626"/>
      <c r="F23" s="626">
        <f t="shared" si="1"/>
        <v>0</v>
      </c>
    </row>
    <row r="24" spans="1:6" ht="21" customHeight="1">
      <c r="A24" s="385" t="s">
        <v>99</v>
      </c>
      <c r="B24" s="628" t="s">
        <v>642</v>
      </c>
      <c r="C24" s="636" t="s">
        <v>92</v>
      </c>
      <c r="D24" s="639">
        <v>1</v>
      </c>
      <c r="E24" s="626"/>
      <c r="F24" s="626">
        <f t="shared" si="1"/>
        <v>0</v>
      </c>
    </row>
    <row r="25" spans="1:6" ht="21" customHeight="1">
      <c r="A25" s="385" t="s">
        <v>100</v>
      </c>
      <c r="B25" s="628" t="s">
        <v>643</v>
      </c>
      <c r="C25" s="636" t="s">
        <v>92</v>
      </c>
      <c r="D25" s="639">
        <v>1</v>
      </c>
      <c r="E25" s="626"/>
      <c r="F25" s="626">
        <f t="shared" si="1"/>
        <v>0</v>
      </c>
    </row>
    <row r="26" spans="1:6" ht="21" customHeight="1">
      <c r="A26" s="385" t="s">
        <v>101</v>
      </c>
      <c r="B26" s="628" t="s">
        <v>644</v>
      </c>
      <c r="C26" s="636" t="s">
        <v>92</v>
      </c>
      <c r="D26" s="639">
        <v>1</v>
      </c>
      <c r="E26" s="626"/>
      <c r="F26" s="626">
        <f t="shared" si="1"/>
        <v>0</v>
      </c>
    </row>
    <row r="27" spans="1:6" ht="21" customHeight="1">
      <c r="A27" s="385" t="s">
        <v>102</v>
      </c>
      <c r="B27" s="628" t="s">
        <v>645</v>
      </c>
      <c r="C27" s="636" t="s">
        <v>92</v>
      </c>
      <c r="D27" s="639">
        <v>1</v>
      </c>
      <c r="E27" s="626"/>
      <c r="F27" s="626">
        <f t="shared" si="1"/>
        <v>0</v>
      </c>
    </row>
    <row r="28" spans="1:6" ht="21" customHeight="1">
      <c r="A28" s="385" t="s">
        <v>103</v>
      </c>
      <c r="B28" s="628" t="s">
        <v>646</v>
      </c>
      <c r="C28" s="636" t="s">
        <v>92</v>
      </c>
      <c r="D28" s="639">
        <v>1</v>
      </c>
      <c r="E28" s="626"/>
      <c r="F28" s="626">
        <f t="shared" si="1"/>
        <v>0</v>
      </c>
    </row>
    <row r="29" spans="1:6">
      <c r="A29" s="385" t="s">
        <v>104</v>
      </c>
      <c r="B29" s="640" t="s">
        <v>647</v>
      </c>
      <c r="C29" s="636" t="s">
        <v>92</v>
      </c>
      <c r="D29" s="639">
        <v>1</v>
      </c>
      <c r="E29" s="626"/>
      <c r="F29" s="626">
        <f t="shared" si="1"/>
        <v>0</v>
      </c>
    </row>
    <row r="30" spans="1:6">
      <c r="A30" s="385" t="s">
        <v>105</v>
      </c>
      <c r="B30" s="640" t="s">
        <v>648</v>
      </c>
      <c r="C30" s="636" t="s">
        <v>92</v>
      </c>
      <c r="D30" s="639">
        <v>1</v>
      </c>
      <c r="E30" s="626"/>
      <c r="F30" s="626">
        <f t="shared" si="1"/>
        <v>0</v>
      </c>
    </row>
    <row r="31" spans="1:6">
      <c r="A31" s="385" t="s">
        <v>106</v>
      </c>
      <c r="B31" s="640" t="s">
        <v>649</v>
      </c>
      <c r="C31" s="636" t="s">
        <v>92</v>
      </c>
      <c r="D31" s="639">
        <v>1</v>
      </c>
      <c r="E31" s="626"/>
      <c r="F31" s="626">
        <f t="shared" si="1"/>
        <v>0</v>
      </c>
    </row>
    <row r="32" spans="1:6">
      <c r="A32" s="385" t="s">
        <v>632</v>
      </c>
      <c r="B32" s="640" t="s">
        <v>650</v>
      </c>
      <c r="C32" s="636" t="s">
        <v>92</v>
      </c>
      <c r="D32" s="639">
        <v>1</v>
      </c>
      <c r="E32" s="626"/>
      <c r="F32" s="626">
        <f t="shared" si="1"/>
        <v>0</v>
      </c>
    </row>
    <row r="33" spans="1:6">
      <c r="A33" s="385" t="s">
        <v>633</v>
      </c>
      <c r="B33" s="640" t="s">
        <v>651</v>
      </c>
      <c r="C33" s="636" t="s">
        <v>92</v>
      </c>
      <c r="D33" s="639">
        <v>1</v>
      </c>
      <c r="E33" s="626"/>
      <c r="F33" s="626">
        <f t="shared" si="1"/>
        <v>0</v>
      </c>
    </row>
    <row r="34" spans="1:6">
      <c r="A34" s="385" t="s">
        <v>634</v>
      </c>
      <c r="B34" s="640" t="s">
        <v>652</v>
      </c>
      <c r="C34" s="636" t="s">
        <v>92</v>
      </c>
      <c r="D34" s="639">
        <v>1</v>
      </c>
      <c r="E34" s="626"/>
      <c r="F34" s="626">
        <f t="shared" si="1"/>
        <v>0</v>
      </c>
    </row>
    <row r="35" spans="1:6">
      <c r="A35" s="385" t="s">
        <v>635</v>
      </c>
      <c r="B35" s="640" t="s">
        <v>653</v>
      </c>
      <c r="C35" s="636" t="s">
        <v>92</v>
      </c>
      <c r="D35" s="639">
        <v>2</v>
      </c>
      <c r="E35" s="626"/>
      <c r="F35" s="626">
        <f t="shared" si="1"/>
        <v>0</v>
      </c>
    </row>
    <row r="36" spans="1:6">
      <c r="A36" s="385" t="s">
        <v>636</v>
      </c>
      <c r="B36" s="640" t="s">
        <v>654</v>
      </c>
      <c r="C36" s="636" t="s">
        <v>92</v>
      </c>
      <c r="D36" s="639">
        <v>2</v>
      </c>
      <c r="E36" s="626"/>
      <c r="F36" s="626">
        <f t="shared" si="1"/>
        <v>0</v>
      </c>
    </row>
    <row r="37" spans="1:6">
      <c r="A37" s="385" t="s">
        <v>637</v>
      </c>
      <c r="B37" s="640" t="s">
        <v>656</v>
      </c>
      <c r="C37" s="636" t="s">
        <v>92</v>
      </c>
      <c r="D37" s="639">
        <v>1</v>
      </c>
      <c r="E37" s="626"/>
      <c r="F37" s="626">
        <f t="shared" si="1"/>
        <v>0</v>
      </c>
    </row>
    <row r="38" spans="1:6">
      <c r="A38" s="385" t="s">
        <v>638</v>
      </c>
      <c r="B38" s="640" t="s">
        <v>657</v>
      </c>
      <c r="C38" s="636" t="s">
        <v>92</v>
      </c>
      <c r="D38" s="639">
        <v>1</v>
      </c>
      <c r="E38" s="626"/>
      <c r="F38" s="626">
        <f t="shared" si="1"/>
        <v>0</v>
      </c>
    </row>
    <row r="39" spans="1:6">
      <c r="A39" s="385" t="s">
        <v>655</v>
      </c>
      <c r="B39" s="640" t="s">
        <v>658</v>
      </c>
      <c r="C39" s="636" t="s">
        <v>92</v>
      </c>
      <c r="D39" s="639">
        <v>1</v>
      </c>
      <c r="E39" s="626"/>
      <c r="F39" s="626">
        <f t="shared" si="1"/>
        <v>0</v>
      </c>
    </row>
    <row r="40" spans="1:6" ht="15" customHeight="1">
      <c r="A40" s="385">
        <v>1.5</v>
      </c>
      <c r="B40" s="635" t="s">
        <v>272</v>
      </c>
      <c r="C40" s="636"/>
      <c r="D40" s="630"/>
      <c r="E40" s="626"/>
      <c r="F40" s="626">
        <f t="shared" si="1"/>
        <v>0</v>
      </c>
    </row>
    <row r="41" spans="1:6" ht="231" customHeight="1">
      <c r="A41" s="385"/>
      <c r="B41" s="628" t="s">
        <v>704</v>
      </c>
      <c r="C41" s="636"/>
      <c r="D41" s="630"/>
      <c r="E41" s="626"/>
      <c r="F41" s="626">
        <f t="shared" ref="F41:F72" si="2">E41*D41</f>
        <v>0</v>
      </c>
    </row>
    <row r="42" spans="1:6" ht="21" customHeight="1">
      <c r="A42" s="385" t="s">
        <v>302</v>
      </c>
      <c r="B42" s="628" t="s">
        <v>661</v>
      </c>
      <c r="C42" s="636" t="s">
        <v>92</v>
      </c>
      <c r="D42" s="630">
        <v>1</v>
      </c>
      <c r="E42" s="626"/>
      <c r="F42" s="626">
        <f t="shared" si="2"/>
        <v>0</v>
      </c>
    </row>
    <row r="43" spans="1:6" ht="241.5" customHeight="1">
      <c r="A43" s="385"/>
      <c r="B43" s="628" t="s">
        <v>660</v>
      </c>
      <c r="C43" s="636"/>
      <c r="D43" s="630"/>
      <c r="E43" s="626"/>
      <c r="F43" s="626">
        <f t="shared" si="2"/>
        <v>0</v>
      </c>
    </row>
    <row r="44" spans="1:6" ht="21" customHeight="1">
      <c r="A44" s="385" t="s">
        <v>659</v>
      </c>
      <c r="B44" s="628" t="s">
        <v>663</v>
      </c>
      <c r="C44" s="636" t="s">
        <v>92</v>
      </c>
      <c r="D44" s="630">
        <v>1</v>
      </c>
      <c r="E44" s="626"/>
      <c r="F44" s="626">
        <f t="shared" si="2"/>
        <v>0</v>
      </c>
    </row>
    <row r="45" spans="1:6">
      <c r="A45" s="385"/>
      <c r="B45" s="628"/>
      <c r="C45" s="636"/>
      <c r="D45" s="630"/>
      <c r="E45" s="626"/>
      <c r="F45" s="626">
        <f t="shared" si="2"/>
        <v>0</v>
      </c>
    </row>
    <row r="46" spans="1:6" ht="15" customHeight="1">
      <c r="A46" s="385">
        <v>1.6</v>
      </c>
      <c r="B46" s="635" t="s">
        <v>273</v>
      </c>
      <c r="C46" s="636"/>
      <c r="D46" s="630"/>
      <c r="E46" s="626"/>
      <c r="F46" s="626">
        <f t="shared" si="2"/>
        <v>0</v>
      </c>
    </row>
    <row r="47" spans="1:6" ht="94.5" customHeight="1">
      <c r="A47" s="385"/>
      <c r="B47" s="628" t="s">
        <v>536</v>
      </c>
      <c r="C47" s="624"/>
      <c r="D47" s="644"/>
      <c r="E47" s="626"/>
      <c r="F47" s="626">
        <f t="shared" si="2"/>
        <v>0</v>
      </c>
    </row>
    <row r="48" spans="1:6" ht="21" customHeight="1">
      <c r="A48" s="387" t="s">
        <v>303</v>
      </c>
      <c r="B48" s="628" t="s">
        <v>664</v>
      </c>
      <c r="C48" s="636" t="s">
        <v>92</v>
      </c>
      <c r="D48" s="645">
        <v>2</v>
      </c>
      <c r="E48" s="626"/>
      <c r="F48" s="626">
        <f t="shared" si="2"/>
        <v>0</v>
      </c>
    </row>
    <row r="49" spans="1:6" ht="42" customHeight="1">
      <c r="A49" s="385">
        <v>1.7</v>
      </c>
      <c r="B49" s="635" t="s">
        <v>705</v>
      </c>
      <c r="C49" s="624"/>
      <c r="D49" s="627"/>
      <c r="E49" s="626"/>
      <c r="F49" s="626">
        <f t="shared" si="2"/>
        <v>0</v>
      </c>
    </row>
    <row r="50" spans="1:6" ht="52.5" customHeight="1">
      <c r="A50" s="387" t="s">
        <v>304</v>
      </c>
      <c r="B50" s="628" t="s">
        <v>665</v>
      </c>
      <c r="C50" s="631" t="s">
        <v>92</v>
      </c>
      <c r="D50" s="630">
        <v>1</v>
      </c>
      <c r="E50" s="626"/>
      <c r="F50" s="626">
        <f t="shared" si="2"/>
        <v>0</v>
      </c>
    </row>
    <row r="51" spans="1:6" ht="63" customHeight="1">
      <c r="A51" s="387" t="s">
        <v>305</v>
      </c>
      <c r="B51" s="628" t="s">
        <v>666</v>
      </c>
      <c r="C51" s="631" t="s">
        <v>92</v>
      </c>
      <c r="D51" s="645">
        <v>2</v>
      </c>
      <c r="E51" s="626"/>
      <c r="F51" s="626">
        <f t="shared" si="2"/>
        <v>0</v>
      </c>
    </row>
    <row r="52" spans="1:6" ht="63" customHeight="1">
      <c r="A52" s="387" t="s">
        <v>306</v>
      </c>
      <c r="B52" s="628" t="s">
        <v>667</v>
      </c>
      <c r="C52" s="631" t="s">
        <v>92</v>
      </c>
      <c r="D52" s="645">
        <v>1</v>
      </c>
      <c r="E52" s="626"/>
      <c r="F52" s="626">
        <f t="shared" si="2"/>
        <v>0</v>
      </c>
    </row>
    <row r="53" spans="1:6" ht="52.5" customHeight="1">
      <c r="A53" s="387" t="s">
        <v>307</v>
      </c>
      <c r="B53" s="628" t="s">
        <v>668</v>
      </c>
      <c r="C53" s="631" t="s">
        <v>92</v>
      </c>
      <c r="D53" s="630">
        <v>1</v>
      </c>
      <c r="E53" s="626"/>
      <c r="F53" s="626">
        <f t="shared" si="2"/>
        <v>0</v>
      </c>
    </row>
    <row r="54" spans="1:6" ht="63" customHeight="1">
      <c r="A54" s="387" t="s">
        <v>308</v>
      </c>
      <c r="B54" s="628" t="s">
        <v>669</v>
      </c>
      <c r="C54" s="631" t="s">
        <v>92</v>
      </c>
      <c r="D54" s="630">
        <v>1</v>
      </c>
      <c r="E54" s="626"/>
      <c r="F54" s="626">
        <f t="shared" si="2"/>
        <v>0</v>
      </c>
    </row>
    <row r="55" spans="1:6" ht="63" customHeight="1">
      <c r="A55" s="387" t="s">
        <v>309</v>
      </c>
      <c r="B55" s="628" t="s">
        <v>670</v>
      </c>
      <c r="C55" s="631" t="s">
        <v>92</v>
      </c>
      <c r="D55" s="646">
        <v>1</v>
      </c>
      <c r="E55" s="626"/>
      <c r="F55" s="626">
        <f t="shared" si="2"/>
        <v>0</v>
      </c>
    </row>
    <row r="56" spans="1:6" ht="63" customHeight="1">
      <c r="A56" s="387" t="s">
        <v>310</v>
      </c>
      <c r="B56" s="628" t="s">
        <v>672</v>
      </c>
      <c r="C56" s="631" t="s">
        <v>92</v>
      </c>
      <c r="D56" s="646">
        <v>1</v>
      </c>
      <c r="E56" s="626"/>
      <c r="F56" s="626">
        <f t="shared" si="2"/>
        <v>0</v>
      </c>
    </row>
    <row r="57" spans="1:6" ht="63" customHeight="1">
      <c r="A57" s="387" t="s">
        <v>311</v>
      </c>
      <c r="B57" s="628" t="s">
        <v>671</v>
      </c>
      <c r="C57" s="631" t="s">
        <v>92</v>
      </c>
      <c r="D57" s="646">
        <v>1</v>
      </c>
      <c r="E57" s="626"/>
      <c r="F57" s="626">
        <f t="shared" si="2"/>
        <v>0</v>
      </c>
    </row>
    <row r="58" spans="1:6" ht="52.5" customHeight="1">
      <c r="A58" s="387" t="s">
        <v>312</v>
      </c>
      <c r="B58" s="628" t="s">
        <v>673</v>
      </c>
      <c r="C58" s="631" t="s">
        <v>92</v>
      </c>
      <c r="D58" s="646">
        <v>1</v>
      </c>
      <c r="E58" s="626"/>
      <c r="F58" s="626">
        <f t="shared" si="2"/>
        <v>0</v>
      </c>
    </row>
    <row r="59" spans="1:6" ht="52.5" customHeight="1">
      <c r="A59" s="387" t="s">
        <v>313</v>
      </c>
      <c r="B59" s="628" t="s">
        <v>674</v>
      </c>
      <c r="C59" s="631" t="s">
        <v>92</v>
      </c>
      <c r="D59" s="646">
        <v>1</v>
      </c>
      <c r="E59" s="626"/>
      <c r="F59" s="626">
        <f t="shared" si="2"/>
        <v>0</v>
      </c>
    </row>
    <row r="60" spans="1:6" ht="52.5" customHeight="1">
      <c r="A60" s="387" t="s">
        <v>314</v>
      </c>
      <c r="B60" s="628" t="s">
        <v>675</v>
      </c>
      <c r="C60" s="631" t="s">
        <v>92</v>
      </c>
      <c r="D60" s="646">
        <v>1</v>
      </c>
      <c r="E60" s="626"/>
      <c r="F60" s="626">
        <f t="shared" si="2"/>
        <v>0</v>
      </c>
    </row>
    <row r="61" spans="1:6" ht="52.5" customHeight="1">
      <c r="A61" s="387" t="s">
        <v>315</v>
      </c>
      <c r="B61" s="628" t="s">
        <v>676</v>
      </c>
      <c r="C61" s="631" t="s">
        <v>92</v>
      </c>
      <c r="D61" s="646">
        <v>1</v>
      </c>
      <c r="E61" s="626"/>
      <c r="F61" s="626">
        <f t="shared" si="2"/>
        <v>0</v>
      </c>
    </row>
    <row r="62" spans="1:6" ht="52.5" customHeight="1">
      <c r="A62" s="387" t="s">
        <v>316</v>
      </c>
      <c r="B62" s="628" t="s">
        <v>677</v>
      </c>
      <c r="C62" s="631" t="s">
        <v>92</v>
      </c>
      <c r="D62" s="646">
        <v>1</v>
      </c>
      <c r="E62" s="626"/>
      <c r="F62" s="626">
        <f t="shared" si="2"/>
        <v>0</v>
      </c>
    </row>
    <row r="63" spans="1:6" ht="52.5" customHeight="1">
      <c r="A63" s="387" t="s">
        <v>317</v>
      </c>
      <c r="B63" s="628" t="s">
        <v>678</v>
      </c>
      <c r="C63" s="631" t="s">
        <v>92</v>
      </c>
      <c r="D63" s="646">
        <v>1</v>
      </c>
      <c r="E63" s="626"/>
      <c r="F63" s="626">
        <f t="shared" si="2"/>
        <v>0</v>
      </c>
    </row>
    <row r="64" spans="1:6" ht="15" customHeight="1">
      <c r="A64" s="387">
        <v>1.8</v>
      </c>
      <c r="B64" s="635" t="s">
        <v>299</v>
      </c>
      <c r="C64" s="631"/>
      <c r="D64" s="646"/>
      <c r="E64" s="626"/>
      <c r="F64" s="626">
        <f t="shared" si="2"/>
        <v>0</v>
      </c>
    </row>
    <row r="65" spans="1:6" ht="147" customHeight="1">
      <c r="A65" s="387"/>
      <c r="B65" s="628" t="s">
        <v>537</v>
      </c>
      <c r="C65" s="641" t="s">
        <v>92</v>
      </c>
      <c r="D65" s="647">
        <v>8</v>
      </c>
      <c r="E65" s="626"/>
      <c r="F65" s="626">
        <f t="shared" si="2"/>
        <v>0</v>
      </c>
    </row>
    <row r="66" spans="1:6">
      <c r="A66" s="387" t="s">
        <v>690</v>
      </c>
      <c r="B66" s="635" t="s">
        <v>681</v>
      </c>
      <c r="C66" s="641"/>
      <c r="D66" s="647"/>
      <c r="E66" s="626"/>
      <c r="F66" s="626">
        <f t="shared" si="2"/>
        <v>0</v>
      </c>
    </row>
    <row r="67" spans="1:6" ht="21" customHeight="1">
      <c r="A67" s="387"/>
      <c r="B67" s="628" t="s">
        <v>680</v>
      </c>
      <c r="C67" s="641"/>
      <c r="D67" s="647"/>
      <c r="E67" s="626"/>
      <c r="F67" s="626">
        <f t="shared" si="2"/>
        <v>0</v>
      </c>
    </row>
    <row r="68" spans="1:6" ht="15" customHeight="1">
      <c r="A68" s="387" t="s">
        <v>692</v>
      </c>
      <c r="B68" s="628" t="s">
        <v>688</v>
      </c>
      <c r="C68" s="641" t="s">
        <v>92</v>
      </c>
      <c r="D68" s="647">
        <v>1</v>
      </c>
      <c r="E68" s="626"/>
      <c r="F68" s="626">
        <f t="shared" si="2"/>
        <v>0</v>
      </c>
    </row>
    <row r="69" spans="1:6" ht="21" customHeight="1">
      <c r="A69" s="387" t="s">
        <v>693</v>
      </c>
      <c r="B69" s="628" t="s">
        <v>687</v>
      </c>
      <c r="C69" s="641" t="s">
        <v>92</v>
      </c>
      <c r="D69" s="647">
        <v>2</v>
      </c>
      <c r="E69" s="626"/>
      <c r="F69" s="626">
        <f t="shared" si="2"/>
        <v>0</v>
      </c>
    </row>
    <row r="70" spans="1:6" ht="15" customHeight="1">
      <c r="A70" s="387" t="s">
        <v>691</v>
      </c>
      <c r="B70" s="635" t="s">
        <v>689</v>
      </c>
      <c r="C70" s="641"/>
      <c r="D70" s="647"/>
      <c r="E70" s="626"/>
      <c r="F70" s="626">
        <f t="shared" si="2"/>
        <v>0</v>
      </c>
    </row>
    <row r="71" spans="1:6" ht="52.5" customHeight="1">
      <c r="A71" s="387"/>
      <c r="B71" s="628" t="s">
        <v>697</v>
      </c>
      <c r="C71" s="641"/>
      <c r="D71" s="647"/>
      <c r="E71" s="626"/>
      <c r="F71" s="626">
        <f t="shared" si="2"/>
        <v>0</v>
      </c>
    </row>
    <row r="72" spans="1:6">
      <c r="A72" s="387" t="s">
        <v>694</v>
      </c>
      <c r="B72" s="628" t="s">
        <v>696</v>
      </c>
      <c r="C72" s="641" t="s">
        <v>92</v>
      </c>
      <c r="D72" s="647">
        <v>2</v>
      </c>
      <c r="E72" s="626"/>
      <c r="F72" s="626">
        <f t="shared" si="2"/>
        <v>0</v>
      </c>
    </row>
    <row r="73" spans="1:6">
      <c r="A73" s="387" t="s">
        <v>695</v>
      </c>
      <c r="B73" s="628" t="s">
        <v>698</v>
      </c>
      <c r="C73" s="641" t="s">
        <v>92</v>
      </c>
      <c r="D73" s="647">
        <v>1</v>
      </c>
      <c r="E73" s="626"/>
      <c r="F73" s="626">
        <f t="shared" ref="F73:F76" si="3">E73*D73</f>
        <v>0</v>
      </c>
    </row>
    <row r="74" spans="1:6">
      <c r="A74" s="387">
        <v>2</v>
      </c>
      <c r="B74" s="635" t="s">
        <v>318</v>
      </c>
      <c r="C74" s="641"/>
      <c r="D74" s="647"/>
      <c r="E74" s="626"/>
      <c r="F74" s="626">
        <f t="shared" si="3"/>
        <v>0</v>
      </c>
    </row>
    <row r="75" spans="1:6" ht="15" customHeight="1">
      <c r="A75" s="385">
        <v>2.1</v>
      </c>
      <c r="B75" s="623" t="s">
        <v>107</v>
      </c>
      <c r="C75" s="624"/>
      <c r="D75" s="625"/>
      <c r="E75" s="626"/>
      <c r="F75" s="626">
        <f t="shared" si="3"/>
        <v>0</v>
      </c>
    </row>
    <row r="76" spans="1:6" ht="168">
      <c r="A76" s="387"/>
      <c r="B76" s="648" t="s">
        <v>706</v>
      </c>
      <c r="C76" s="629"/>
      <c r="D76" s="625"/>
      <c r="E76" s="626"/>
      <c r="F76" s="626">
        <f t="shared" si="3"/>
        <v>0</v>
      </c>
    </row>
    <row r="77" spans="1:6" ht="31.5" customHeight="1">
      <c r="A77" s="387" t="s">
        <v>319</v>
      </c>
      <c r="B77" s="649" t="s">
        <v>108</v>
      </c>
      <c r="C77" s="631" t="s">
        <v>109</v>
      </c>
      <c r="D77" s="650"/>
      <c r="E77" s="626"/>
      <c r="F77" s="626"/>
    </row>
    <row r="78" spans="1:6" ht="31.5" customHeight="1">
      <c r="A78" s="387" t="s">
        <v>320</v>
      </c>
      <c r="B78" s="649" t="s">
        <v>110</v>
      </c>
      <c r="C78" s="631" t="s">
        <v>109</v>
      </c>
      <c r="D78" s="650"/>
      <c r="E78" s="626"/>
      <c r="F78" s="626"/>
    </row>
    <row r="79" spans="1:6" ht="31.5" customHeight="1">
      <c r="A79" s="387" t="s">
        <v>321</v>
      </c>
      <c r="B79" s="651" t="s">
        <v>111</v>
      </c>
      <c r="C79" s="631" t="s">
        <v>109</v>
      </c>
      <c r="D79" s="650"/>
      <c r="E79" s="626"/>
      <c r="F79" s="626"/>
    </row>
    <row r="80" spans="1:6" ht="31.5" customHeight="1">
      <c r="A80" s="387" t="s">
        <v>322</v>
      </c>
      <c r="B80" s="651" t="s">
        <v>112</v>
      </c>
      <c r="C80" s="631" t="s">
        <v>109</v>
      </c>
      <c r="D80" s="650"/>
      <c r="E80" s="626"/>
      <c r="F80" s="626"/>
    </row>
    <row r="81" spans="1:6" ht="31.5" customHeight="1">
      <c r="A81" s="387" t="s">
        <v>323</v>
      </c>
      <c r="B81" s="651" t="s">
        <v>113</v>
      </c>
      <c r="C81" s="631" t="s">
        <v>109</v>
      </c>
      <c r="D81" s="634">
        <v>32</v>
      </c>
      <c r="E81" s="626"/>
      <c r="F81" s="626">
        <f t="shared" ref="F81:F93" si="4">E81*D81</f>
        <v>0</v>
      </c>
    </row>
    <row r="82" spans="1:6" ht="31.5" customHeight="1">
      <c r="A82" s="387" t="s">
        <v>324</v>
      </c>
      <c r="B82" s="649" t="s">
        <v>114</v>
      </c>
      <c r="C82" s="631" t="s">
        <v>109</v>
      </c>
      <c r="D82" s="634">
        <v>14</v>
      </c>
      <c r="E82" s="626"/>
      <c r="F82" s="626">
        <f t="shared" si="4"/>
        <v>0</v>
      </c>
    </row>
    <row r="83" spans="1:6" ht="31.5" customHeight="1">
      <c r="A83" s="387" t="s">
        <v>325</v>
      </c>
      <c r="B83" s="652" t="s">
        <v>259</v>
      </c>
      <c r="C83" s="631" t="s">
        <v>109</v>
      </c>
      <c r="D83" s="634">
        <v>24</v>
      </c>
      <c r="E83" s="626"/>
      <c r="F83" s="626">
        <f t="shared" si="4"/>
        <v>0</v>
      </c>
    </row>
    <row r="84" spans="1:6" ht="31.5" customHeight="1">
      <c r="A84" s="387" t="s">
        <v>326</v>
      </c>
      <c r="B84" s="652" t="s">
        <v>260</v>
      </c>
      <c r="C84" s="631" t="s">
        <v>109</v>
      </c>
      <c r="D84" s="634">
        <v>34</v>
      </c>
      <c r="E84" s="626"/>
      <c r="F84" s="626">
        <f t="shared" si="4"/>
        <v>0</v>
      </c>
    </row>
    <row r="85" spans="1:6" ht="31.5" customHeight="1">
      <c r="A85" s="387" t="s">
        <v>327</v>
      </c>
      <c r="B85" s="652" t="s">
        <v>261</v>
      </c>
      <c r="C85" s="631" t="s">
        <v>109</v>
      </c>
      <c r="D85" s="634">
        <v>45</v>
      </c>
      <c r="E85" s="626"/>
      <c r="F85" s="626">
        <f t="shared" si="4"/>
        <v>0</v>
      </c>
    </row>
    <row r="86" spans="1:6" ht="31.5" customHeight="1">
      <c r="A86" s="387" t="s">
        <v>328</v>
      </c>
      <c r="B86" s="652" t="s">
        <v>262</v>
      </c>
      <c r="C86" s="631" t="s">
        <v>109</v>
      </c>
      <c r="D86" s="634">
        <v>55</v>
      </c>
      <c r="E86" s="626"/>
      <c r="F86" s="626">
        <f t="shared" si="4"/>
        <v>0</v>
      </c>
    </row>
    <row r="87" spans="1:6" ht="31.5" customHeight="1">
      <c r="A87" s="387" t="s">
        <v>329</v>
      </c>
      <c r="B87" s="652" t="s">
        <v>263</v>
      </c>
      <c r="C87" s="631" t="s">
        <v>109</v>
      </c>
      <c r="D87" s="634">
        <v>152</v>
      </c>
      <c r="E87" s="626"/>
      <c r="F87" s="626">
        <f t="shared" si="4"/>
        <v>0</v>
      </c>
    </row>
    <row r="88" spans="1:6" ht="31.5" customHeight="1">
      <c r="A88" s="387" t="s">
        <v>330</v>
      </c>
      <c r="B88" s="652" t="s">
        <v>264</v>
      </c>
      <c r="C88" s="631" t="s">
        <v>109</v>
      </c>
      <c r="D88" s="634">
        <v>39</v>
      </c>
      <c r="E88" s="626"/>
      <c r="F88" s="626">
        <f t="shared" si="4"/>
        <v>0</v>
      </c>
    </row>
    <row r="89" spans="1:6" ht="31.5" customHeight="1">
      <c r="A89" s="387" t="s">
        <v>331</v>
      </c>
      <c r="B89" s="652" t="s">
        <v>265</v>
      </c>
      <c r="C89" s="631" t="s">
        <v>109</v>
      </c>
      <c r="D89" s="634">
        <v>53</v>
      </c>
      <c r="E89" s="626"/>
      <c r="F89" s="626">
        <f t="shared" si="4"/>
        <v>0</v>
      </c>
    </row>
    <row r="90" spans="1:6" ht="15" customHeight="1">
      <c r="A90" s="385">
        <v>2.2000000000000002</v>
      </c>
      <c r="B90" s="623" t="s">
        <v>93</v>
      </c>
      <c r="C90" s="624"/>
      <c r="D90" s="644"/>
      <c r="E90" s="626"/>
      <c r="F90" s="626">
        <f t="shared" si="4"/>
        <v>0</v>
      </c>
    </row>
    <row r="91" spans="1:6" ht="115.5" customHeight="1">
      <c r="A91" s="387"/>
      <c r="B91" s="628" t="s">
        <v>538</v>
      </c>
      <c r="C91" s="629"/>
      <c r="D91" s="644"/>
      <c r="E91" s="626"/>
      <c r="F91" s="626">
        <f t="shared" si="4"/>
        <v>0</v>
      </c>
    </row>
    <row r="92" spans="1:6">
      <c r="A92" s="387" t="s">
        <v>333</v>
      </c>
      <c r="B92" s="653" t="s">
        <v>267</v>
      </c>
      <c r="C92" s="631" t="s">
        <v>92</v>
      </c>
      <c r="D92" s="654">
        <v>1</v>
      </c>
      <c r="E92" s="626"/>
      <c r="F92" s="626">
        <f t="shared" si="4"/>
        <v>0</v>
      </c>
    </row>
    <row r="93" spans="1:6">
      <c r="A93" s="387" t="s">
        <v>332</v>
      </c>
      <c r="B93" s="653" t="s">
        <v>266</v>
      </c>
      <c r="C93" s="631" t="s">
        <v>92</v>
      </c>
      <c r="D93" s="654">
        <f>SUM(D17:D20)+SUM(D23:D39)-1</f>
        <v>24</v>
      </c>
      <c r="E93" s="626"/>
      <c r="F93" s="626">
        <f t="shared" si="4"/>
        <v>0</v>
      </c>
    </row>
    <row r="94" spans="1:6">
      <c r="A94" s="385"/>
      <c r="B94" s="632"/>
      <c r="C94" s="633"/>
      <c r="D94" s="627"/>
      <c r="E94" s="626"/>
      <c r="F94" s="634"/>
    </row>
    <row r="95" spans="1:6">
      <c r="A95" s="385"/>
      <c r="B95" s="632"/>
      <c r="C95" s="633"/>
      <c r="D95" s="627"/>
      <c r="E95" s="626"/>
      <c r="F95" s="634"/>
    </row>
    <row r="96" spans="1:6" ht="21" customHeight="1">
      <c r="A96" s="385">
        <v>3</v>
      </c>
      <c r="B96" s="635" t="s">
        <v>115</v>
      </c>
      <c r="C96" s="624"/>
      <c r="D96" s="627"/>
      <c r="E96" s="626"/>
      <c r="F96" s="626">
        <f t="shared" ref="F96:F113" si="5">E96*D96</f>
        <v>0</v>
      </c>
    </row>
    <row r="97" spans="1:6">
      <c r="A97" s="385">
        <v>3.1</v>
      </c>
      <c r="B97" s="635" t="s">
        <v>274</v>
      </c>
      <c r="C97" s="624"/>
      <c r="D97" s="627"/>
      <c r="E97" s="626"/>
      <c r="F97" s="626">
        <f t="shared" si="5"/>
        <v>0</v>
      </c>
    </row>
    <row r="98" spans="1:6" ht="15" customHeight="1">
      <c r="A98" s="385" t="s">
        <v>116</v>
      </c>
      <c r="B98" s="635" t="s">
        <v>275</v>
      </c>
      <c r="C98" s="624"/>
      <c r="D98" s="627"/>
      <c r="E98" s="626"/>
      <c r="F98" s="626">
        <f t="shared" si="5"/>
        <v>0</v>
      </c>
    </row>
    <row r="99" spans="1:6" ht="157.5" customHeight="1">
      <c r="A99" s="385"/>
      <c r="B99" s="628" t="s">
        <v>539</v>
      </c>
      <c r="C99" s="624"/>
      <c r="D99" s="625"/>
      <c r="E99" s="626"/>
      <c r="F99" s="626">
        <f t="shared" si="5"/>
        <v>0</v>
      </c>
    </row>
    <row r="100" spans="1:6">
      <c r="A100" s="385" t="s">
        <v>334</v>
      </c>
      <c r="B100" s="655" t="s">
        <v>37</v>
      </c>
      <c r="C100" s="631" t="s">
        <v>117</v>
      </c>
      <c r="D100" s="656">
        <v>1000</v>
      </c>
      <c r="E100" s="626"/>
      <c r="F100" s="626">
        <f t="shared" si="5"/>
        <v>0</v>
      </c>
    </row>
    <row r="101" spans="1:6">
      <c r="A101" s="385" t="s">
        <v>335</v>
      </c>
      <c r="B101" s="655" t="s">
        <v>27</v>
      </c>
      <c r="C101" s="631" t="s">
        <v>117</v>
      </c>
      <c r="D101" s="656"/>
      <c r="E101" s="626"/>
      <c r="F101" s="626">
        <f t="shared" si="5"/>
        <v>0</v>
      </c>
    </row>
    <row r="102" spans="1:6">
      <c r="A102" s="385" t="s">
        <v>336</v>
      </c>
      <c r="B102" s="655" t="s">
        <v>28</v>
      </c>
      <c r="C102" s="631" t="s">
        <v>117</v>
      </c>
      <c r="D102" s="656"/>
      <c r="E102" s="626"/>
      <c r="F102" s="626">
        <f t="shared" si="5"/>
        <v>0</v>
      </c>
    </row>
    <row r="103" spans="1:6">
      <c r="A103" s="385" t="s">
        <v>337</v>
      </c>
      <c r="B103" s="655" t="s">
        <v>29</v>
      </c>
      <c r="C103" s="631" t="s">
        <v>117</v>
      </c>
      <c r="D103" s="656"/>
      <c r="E103" s="626"/>
      <c r="F103" s="626">
        <f t="shared" si="5"/>
        <v>0</v>
      </c>
    </row>
    <row r="104" spans="1:6" ht="31.5" customHeight="1">
      <c r="A104" s="385" t="s">
        <v>118</v>
      </c>
      <c r="B104" s="635" t="s">
        <v>276</v>
      </c>
      <c r="C104" s="631"/>
      <c r="D104" s="656"/>
      <c r="E104" s="626"/>
      <c r="F104" s="626">
        <f t="shared" si="5"/>
        <v>0</v>
      </c>
    </row>
    <row r="105" spans="1:6" ht="84" customHeight="1">
      <c r="A105" s="385"/>
      <c r="B105" s="628" t="s">
        <v>277</v>
      </c>
      <c r="C105" s="641" t="s">
        <v>268</v>
      </c>
      <c r="D105" s="656"/>
      <c r="E105" s="626"/>
      <c r="F105" s="626">
        <f t="shared" si="5"/>
        <v>0</v>
      </c>
    </row>
    <row r="106" spans="1:6">
      <c r="A106" s="385">
        <v>3.2</v>
      </c>
      <c r="B106" s="635" t="s">
        <v>282</v>
      </c>
      <c r="C106" s="641"/>
      <c r="D106" s="656"/>
      <c r="E106" s="626"/>
      <c r="F106" s="626">
        <f t="shared" si="5"/>
        <v>0</v>
      </c>
    </row>
    <row r="107" spans="1:6" ht="94.5" customHeight="1">
      <c r="A107" s="385"/>
      <c r="B107" s="628" t="s">
        <v>540</v>
      </c>
      <c r="C107" s="641"/>
      <c r="D107" s="656"/>
      <c r="E107" s="626"/>
      <c r="F107" s="626">
        <f t="shared" si="5"/>
        <v>0</v>
      </c>
    </row>
    <row r="108" spans="1:6">
      <c r="A108" s="385"/>
      <c r="B108" s="628" t="s">
        <v>278</v>
      </c>
      <c r="C108" s="641" t="s">
        <v>109</v>
      </c>
      <c r="D108" s="656">
        <v>25</v>
      </c>
      <c r="E108" s="626"/>
      <c r="F108" s="626">
        <f t="shared" si="5"/>
        <v>0</v>
      </c>
    </row>
    <row r="109" spans="1:6">
      <c r="A109" s="385"/>
      <c r="B109" s="628"/>
      <c r="C109" s="641"/>
      <c r="D109" s="657"/>
      <c r="E109" s="626"/>
      <c r="F109" s="626">
        <f t="shared" si="5"/>
        <v>0</v>
      </c>
    </row>
    <row r="110" spans="1:6" ht="21" customHeight="1">
      <c r="A110" s="385">
        <v>4</v>
      </c>
      <c r="B110" s="623" t="s">
        <v>119</v>
      </c>
      <c r="C110" s="631"/>
      <c r="D110" s="627"/>
      <c r="E110" s="626"/>
      <c r="F110" s="626">
        <f t="shared" si="5"/>
        <v>0</v>
      </c>
    </row>
    <row r="111" spans="1:6">
      <c r="A111" s="385">
        <v>4.0999999999999996</v>
      </c>
      <c r="B111" s="635" t="s">
        <v>284</v>
      </c>
      <c r="C111" s="631"/>
      <c r="D111" s="627"/>
      <c r="E111" s="626"/>
      <c r="F111" s="626">
        <f t="shared" si="5"/>
        <v>0</v>
      </c>
    </row>
    <row r="112" spans="1:6" ht="73.5" customHeight="1">
      <c r="A112" s="385"/>
      <c r="B112" s="628" t="s">
        <v>349</v>
      </c>
      <c r="C112" s="631" t="s">
        <v>120</v>
      </c>
      <c r="D112" s="658">
        <v>2</v>
      </c>
      <c r="E112" s="626"/>
      <c r="F112" s="626">
        <f t="shared" si="5"/>
        <v>0</v>
      </c>
    </row>
    <row r="113" spans="1:6">
      <c r="A113" s="385">
        <v>4.5</v>
      </c>
      <c r="B113" s="659" t="s">
        <v>280</v>
      </c>
      <c r="C113" s="641"/>
      <c r="D113" s="660"/>
      <c r="E113" s="626"/>
      <c r="F113" s="626">
        <f t="shared" si="5"/>
        <v>0</v>
      </c>
    </row>
    <row r="114" spans="1:6" ht="84" customHeight="1">
      <c r="A114" s="385" t="s">
        <v>338</v>
      </c>
      <c r="B114" s="661" t="s">
        <v>279</v>
      </c>
      <c r="C114" s="641" t="s">
        <v>120</v>
      </c>
      <c r="D114" s="662"/>
      <c r="E114" s="626"/>
      <c r="F114" s="626"/>
    </row>
    <row r="115" spans="1:6" ht="15" customHeight="1">
      <c r="A115" s="385">
        <v>5</v>
      </c>
      <c r="B115" s="659" t="s">
        <v>545</v>
      </c>
      <c r="C115" s="631"/>
      <c r="D115" s="625"/>
      <c r="E115" s="626"/>
      <c r="F115" s="626">
        <f t="shared" ref="F115:F143" si="6">E115*D115</f>
        <v>0</v>
      </c>
    </row>
    <row r="116" spans="1:6">
      <c r="A116" s="385">
        <v>5.0999999999999996</v>
      </c>
      <c r="B116" s="659" t="s">
        <v>339</v>
      </c>
      <c r="C116" s="631"/>
      <c r="D116" s="625"/>
      <c r="E116" s="626"/>
      <c r="F116" s="626">
        <f t="shared" si="6"/>
        <v>0</v>
      </c>
    </row>
    <row r="117" spans="1:6" ht="126" customHeight="1">
      <c r="A117" s="385"/>
      <c r="B117" s="661" t="s">
        <v>281</v>
      </c>
      <c r="C117" s="631"/>
      <c r="D117" s="625"/>
      <c r="E117" s="626"/>
      <c r="F117" s="626">
        <f t="shared" si="6"/>
        <v>0</v>
      </c>
    </row>
    <row r="118" spans="1:6" ht="15" customHeight="1">
      <c r="A118" s="385"/>
      <c r="B118" s="663" t="s">
        <v>121</v>
      </c>
      <c r="C118" s="631" t="s">
        <v>120</v>
      </c>
      <c r="D118" s="634">
        <v>600</v>
      </c>
      <c r="E118" s="626"/>
      <c r="F118" s="626">
        <f t="shared" si="6"/>
        <v>0</v>
      </c>
    </row>
    <row r="119" spans="1:6" ht="15" customHeight="1">
      <c r="A119" s="385">
        <v>5.2</v>
      </c>
      <c r="B119" s="659" t="s">
        <v>122</v>
      </c>
      <c r="C119" s="631"/>
      <c r="D119" s="634"/>
      <c r="E119" s="626"/>
      <c r="F119" s="626">
        <f t="shared" si="6"/>
        <v>0</v>
      </c>
    </row>
    <row r="120" spans="1:6" ht="73.5" customHeight="1">
      <c r="A120" s="385"/>
      <c r="B120" s="661" t="s">
        <v>541</v>
      </c>
      <c r="C120" s="631"/>
      <c r="D120" s="625"/>
      <c r="E120" s="626"/>
      <c r="F120" s="626">
        <f t="shared" si="6"/>
        <v>0</v>
      </c>
    </row>
    <row r="121" spans="1:6" ht="15" customHeight="1">
      <c r="A121" s="385"/>
      <c r="B121" s="663" t="s">
        <v>123</v>
      </c>
      <c r="C121" s="631" t="s">
        <v>120</v>
      </c>
      <c r="D121" s="634">
        <v>120</v>
      </c>
      <c r="E121" s="626"/>
      <c r="F121" s="626">
        <f t="shared" si="6"/>
        <v>0</v>
      </c>
    </row>
    <row r="122" spans="1:6">
      <c r="A122" s="385">
        <v>6</v>
      </c>
      <c r="B122" s="623" t="s">
        <v>124</v>
      </c>
      <c r="C122" s="624"/>
      <c r="D122" s="625"/>
      <c r="E122" s="626"/>
      <c r="F122" s="626">
        <f t="shared" si="6"/>
        <v>0</v>
      </c>
    </row>
    <row r="123" spans="1:6">
      <c r="A123" s="385">
        <v>6.1</v>
      </c>
      <c r="B123" s="635" t="s">
        <v>542</v>
      </c>
      <c r="C123" s="624"/>
      <c r="D123" s="625"/>
      <c r="E123" s="626"/>
      <c r="F123" s="626">
        <f t="shared" si="6"/>
        <v>0</v>
      </c>
    </row>
    <row r="124" spans="1:6" ht="220.5" customHeight="1">
      <c r="A124" s="385"/>
      <c r="B124" s="628" t="s">
        <v>296</v>
      </c>
      <c r="C124" s="624"/>
      <c r="D124" s="625"/>
      <c r="E124" s="626"/>
      <c r="F124" s="626">
        <f t="shared" si="6"/>
        <v>0</v>
      </c>
    </row>
    <row r="125" spans="1:6" ht="15" customHeight="1">
      <c r="A125" s="385"/>
      <c r="B125" s="635" t="s">
        <v>679</v>
      </c>
      <c r="C125" s="636" t="s">
        <v>92</v>
      </c>
      <c r="D125" s="625">
        <v>1</v>
      </c>
      <c r="E125" s="626"/>
      <c r="F125" s="626">
        <f t="shared" si="6"/>
        <v>0</v>
      </c>
    </row>
    <row r="126" spans="1:6" ht="21" customHeight="1">
      <c r="A126" s="385">
        <v>6.2</v>
      </c>
      <c r="B126" s="635" t="s">
        <v>293</v>
      </c>
      <c r="C126" s="636"/>
      <c r="D126" s="625"/>
      <c r="E126" s="626"/>
      <c r="F126" s="626">
        <f t="shared" si="6"/>
        <v>0</v>
      </c>
    </row>
    <row r="127" spans="1:6" ht="136.5" customHeight="1">
      <c r="A127" s="385"/>
      <c r="B127" s="628" t="s">
        <v>543</v>
      </c>
      <c r="C127" s="636" t="s">
        <v>92</v>
      </c>
      <c r="D127" s="625">
        <v>1</v>
      </c>
      <c r="E127" s="626"/>
      <c r="F127" s="626">
        <f t="shared" si="6"/>
        <v>0</v>
      </c>
    </row>
    <row r="128" spans="1:6">
      <c r="A128" s="385">
        <v>6.3</v>
      </c>
      <c r="B128" s="628" t="s">
        <v>297</v>
      </c>
      <c r="C128" s="636" t="s">
        <v>92</v>
      </c>
      <c r="D128" s="625">
        <v>7</v>
      </c>
      <c r="E128" s="626"/>
      <c r="F128" s="626">
        <f t="shared" si="6"/>
        <v>0</v>
      </c>
    </row>
    <row r="129" spans="1:6" ht="15" customHeight="1">
      <c r="A129" s="385">
        <v>6.4</v>
      </c>
      <c r="B129" s="628" t="s">
        <v>298</v>
      </c>
      <c r="C129" s="636" t="s">
        <v>92</v>
      </c>
      <c r="D129" s="625">
        <v>5</v>
      </c>
      <c r="E129" s="626"/>
      <c r="F129" s="626">
        <f t="shared" si="6"/>
        <v>0</v>
      </c>
    </row>
    <row r="130" spans="1:6">
      <c r="A130" s="385">
        <v>6.5</v>
      </c>
      <c r="B130" s="635" t="s">
        <v>294</v>
      </c>
      <c r="C130" s="624"/>
      <c r="D130" s="625"/>
      <c r="E130" s="626"/>
      <c r="F130" s="626">
        <f t="shared" si="6"/>
        <v>0</v>
      </c>
    </row>
    <row r="131" spans="1:6" ht="63" customHeight="1">
      <c r="A131" s="387" t="s">
        <v>340</v>
      </c>
      <c r="B131" s="628" t="s">
        <v>295</v>
      </c>
      <c r="C131" s="636" t="s">
        <v>109</v>
      </c>
      <c r="D131" s="625">
        <f>(8*10)+(10*10)+20+10</f>
        <v>210</v>
      </c>
      <c r="E131" s="626"/>
      <c r="F131" s="626">
        <f t="shared" si="6"/>
        <v>0</v>
      </c>
    </row>
    <row r="132" spans="1:6" ht="42" customHeight="1">
      <c r="A132" s="387" t="s">
        <v>341</v>
      </c>
      <c r="B132" s="628" t="s">
        <v>287</v>
      </c>
      <c r="C132" s="636" t="s">
        <v>109</v>
      </c>
      <c r="D132" s="625">
        <f>(D81+D82+D83+D84+D85+D86+D87+D88+D89)/2</f>
        <v>224</v>
      </c>
      <c r="E132" s="626"/>
      <c r="F132" s="626">
        <f t="shared" si="6"/>
        <v>0</v>
      </c>
    </row>
    <row r="133" spans="1:6" ht="15" customHeight="1">
      <c r="A133" s="387">
        <v>6.6</v>
      </c>
      <c r="B133" s="635" t="s">
        <v>286</v>
      </c>
      <c r="C133" s="636"/>
      <c r="D133" s="625"/>
      <c r="E133" s="626"/>
      <c r="F133" s="626">
        <f t="shared" si="6"/>
        <v>0</v>
      </c>
    </row>
    <row r="134" spans="1:6" ht="168" customHeight="1">
      <c r="A134" s="387"/>
      <c r="B134" s="628" t="s">
        <v>288</v>
      </c>
      <c r="C134" s="636" t="s">
        <v>109</v>
      </c>
      <c r="D134" s="660">
        <v>300</v>
      </c>
      <c r="E134" s="626"/>
      <c r="F134" s="626">
        <f t="shared" si="6"/>
        <v>0</v>
      </c>
    </row>
    <row r="135" spans="1:6" ht="21" customHeight="1">
      <c r="A135" s="387" t="s">
        <v>342</v>
      </c>
      <c r="B135" s="628" t="s">
        <v>289</v>
      </c>
      <c r="C135" s="636" t="s">
        <v>268</v>
      </c>
      <c r="D135" s="660"/>
      <c r="E135" s="626"/>
      <c r="F135" s="626">
        <f t="shared" si="6"/>
        <v>0</v>
      </c>
    </row>
    <row r="136" spans="1:6">
      <c r="A136" s="387" t="s">
        <v>343</v>
      </c>
      <c r="B136" s="628" t="s">
        <v>290</v>
      </c>
      <c r="C136" s="636" t="s">
        <v>268</v>
      </c>
      <c r="D136" s="660"/>
      <c r="E136" s="626"/>
      <c r="F136" s="626">
        <f t="shared" si="6"/>
        <v>0</v>
      </c>
    </row>
    <row r="137" spans="1:6">
      <c r="A137" s="387" t="s">
        <v>344</v>
      </c>
      <c r="B137" s="628" t="s">
        <v>291</v>
      </c>
      <c r="C137" s="636" t="s">
        <v>268</v>
      </c>
      <c r="D137" s="660"/>
      <c r="E137" s="626"/>
      <c r="F137" s="626">
        <f t="shared" si="6"/>
        <v>0</v>
      </c>
    </row>
    <row r="138" spans="1:6">
      <c r="A138" s="387" t="s">
        <v>345</v>
      </c>
      <c r="B138" s="628" t="s">
        <v>292</v>
      </c>
      <c r="C138" s="636" t="s">
        <v>268</v>
      </c>
      <c r="D138" s="625"/>
      <c r="E138" s="626"/>
      <c r="F138" s="626">
        <f t="shared" si="6"/>
        <v>0</v>
      </c>
    </row>
    <row r="139" spans="1:6">
      <c r="A139" s="387">
        <v>6.7</v>
      </c>
      <c r="B139" s="664" t="s">
        <v>546</v>
      </c>
      <c r="C139" s="636"/>
      <c r="D139" s="625"/>
      <c r="E139" s="626"/>
      <c r="F139" s="626">
        <f t="shared" si="6"/>
        <v>0</v>
      </c>
    </row>
    <row r="140" spans="1:6" ht="115.5" customHeight="1">
      <c r="A140" s="385"/>
      <c r="B140" s="628" t="s">
        <v>544</v>
      </c>
      <c r="C140" s="624"/>
      <c r="D140" s="625"/>
      <c r="E140" s="626"/>
      <c r="F140" s="626">
        <f t="shared" si="6"/>
        <v>0</v>
      </c>
    </row>
    <row r="141" spans="1:6">
      <c r="A141" s="385" t="s">
        <v>346</v>
      </c>
      <c r="B141" s="628" t="s">
        <v>125</v>
      </c>
      <c r="C141" s="629" t="s">
        <v>109</v>
      </c>
      <c r="D141" s="665">
        <f>[1]CDP!E6</f>
        <v>129.29999999999998</v>
      </c>
      <c r="E141" s="626"/>
      <c r="F141" s="626">
        <f t="shared" si="6"/>
        <v>0</v>
      </c>
    </row>
    <row r="142" spans="1:6">
      <c r="A142" s="385" t="s">
        <v>347</v>
      </c>
      <c r="B142" s="628" t="s">
        <v>126</v>
      </c>
      <c r="C142" s="629" t="s">
        <v>109</v>
      </c>
      <c r="D142" s="665">
        <f>[1]CDP!E22</f>
        <v>27.8</v>
      </c>
      <c r="E142" s="626"/>
      <c r="F142" s="626">
        <f t="shared" si="6"/>
        <v>0</v>
      </c>
    </row>
    <row r="143" spans="1:6">
      <c r="A143" s="385" t="s">
        <v>348</v>
      </c>
      <c r="B143" s="628" t="s">
        <v>127</v>
      </c>
      <c r="C143" s="629" t="s">
        <v>109</v>
      </c>
      <c r="D143" s="665">
        <f>[1]CDP!E23</f>
        <v>19</v>
      </c>
      <c r="E143" s="626"/>
      <c r="F143" s="626">
        <f t="shared" si="6"/>
        <v>0</v>
      </c>
    </row>
    <row r="144" spans="1:6">
      <c r="A144" s="385"/>
      <c r="B144" s="628"/>
      <c r="C144" s="629"/>
      <c r="D144" s="627"/>
      <c r="E144" s="626"/>
      <c r="F144" s="634">
        <f>SUM(F2:F143)</f>
        <v>0</v>
      </c>
    </row>
  </sheetData>
  <autoFilter ref="B1:B140" xr:uid="{0F8C705A-21E5-430F-935B-65D8F5713CA5}"/>
  <dataValidations count="1">
    <dataValidation allowBlank="1" showInputMessage="1" showErrorMessage="1" promptTitle="Item Description" prompt="Please enter Item Description in text" sqref="B76:B78 B82:B89" xr:uid="{E29A4997-6837-43CA-8EE9-A234BFEA598E}"/>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AK5"/>
  <sheetViews>
    <sheetView zoomScale="70" zoomScaleNormal="70" zoomScaleSheetLayoutView="70" zoomScalePageLayoutView="98" workbookViewId="0">
      <pane xSplit="4" ySplit="1" topLeftCell="F2" activePane="bottomRight" state="frozen"/>
      <selection pane="topRight"/>
      <selection pane="bottomLeft"/>
      <selection pane="bottomRight"/>
    </sheetView>
  </sheetViews>
  <sheetFormatPr defaultColWidth="9.140625" defaultRowHeight="29.25" customHeight="1"/>
  <cols>
    <col min="1" max="1" width="2.5703125" style="196" customWidth="1"/>
    <col min="2" max="2" width="7.85546875" style="196" customWidth="1"/>
    <col min="3" max="3" width="6.85546875" style="196" customWidth="1"/>
    <col min="4" max="4" width="24.85546875" style="236" customWidth="1"/>
    <col min="5" max="5" width="26.42578125" style="236" customWidth="1"/>
    <col min="6" max="6" width="20.85546875" style="236" customWidth="1"/>
    <col min="7" max="7" width="10" style="199" customWidth="1"/>
    <col min="8" max="9" width="9.85546875" style="199" customWidth="1"/>
    <col min="10" max="10" width="9.7109375" style="199" customWidth="1"/>
    <col min="11" max="11" width="10.140625" style="199" customWidth="1"/>
    <col min="12" max="12" width="29.28515625" style="200" bestFit="1" customWidth="1"/>
    <col min="13" max="13" width="27.28515625" style="200" bestFit="1" customWidth="1"/>
    <col min="14" max="14" width="26.42578125" style="334" customWidth="1"/>
    <col min="15" max="15" width="24" style="199" customWidth="1"/>
    <col min="16" max="16" width="12.85546875" style="199" customWidth="1"/>
    <col min="17" max="17" width="12.28515625" style="199" customWidth="1"/>
    <col min="18" max="18" width="13.28515625" style="199" customWidth="1"/>
    <col min="19" max="19" width="12.85546875" style="199" customWidth="1"/>
    <col min="20" max="20" width="11.7109375" style="199" customWidth="1"/>
    <col min="21" max="21" width="13.28515625" style="199" customWidth="1"/>
    <col min="22" max="23" width="13.28515625" style="199" hidden="1" customWidth="1"/>
    <col min="24" max="24" width="15" style="199" hidden="1" customWidth="1"/>
    <col min="25" max="31" width="15" style="199" customWidth="1"/>
    <col min="32" max="32" width="17.7109375" style="201" customWidth="1"/>
    <col min="33" max="33" width="17.7109375" style="200" customWidth="1"/>
    <col min="34" max="34" width="29.7109375" style="200" customWidth="1"/>
    <col min="35" max="35" width="22.140625" style="196" customWidth="1"/>
    <col min="36" max="37" width="34.85546875" style="203" customWidth="1"/>
    <col min="38" max="38" width="25" style="196" customWidth="1"/>
    <col min="39" max="16384" width="9.140625" style="196"/>
  </cols>
  <sheetData>
    <row r="1" spans="3:34" ht="29.25" customHeight="1">
      <c r="C1" s="416" t="s">
        <v>461</v>
      </c>
      <c r="D1" s="416"/>
      <c r="E1" s="416"/>
      <c r="F1" s="416"/>
      <c r="G1" s="416"/>
      <c r="H1" s="416"/>
      <c r="I1" s="416"/>
      <c r="J1" s="416"/>
      <c r="K1" s="416"/>
      <c r="L1" s="416"/>
      <c r="M1" s="416"/>
      <c r="N1" s="416"/>
      <c r="O1" s="416"/>
    </row>
    <row r="2" spans="3:34" ht="39" customHeight="1">
      <c r="C2" s="227" t="s">
        <v>462</v>
      </c>
      <c r="D2" s="281" t="s">
        <v>594</v>
      </c>
      <c r="E2" s="227" t="s">
        <v>595</v>
      </c>
      <c r="F2" s="227" t="s">
        <v>596</v>
      </c>
      <c r="G2" s="417" t="s">
        <v>597</v>
      </c>
      <c r="H2" s="418"/>
      <c r="I2" s="419"/>
      <c r="J2" s="417" t="s">
        <v>598</v>
      </c>
      <c r="K2" s="419"/>
      <c r="L2" s="335" t="s">
        <v>599</v>
      </c>
      <c r="M2" s="279" t="s">
        <v>600</v>
      </c>
      <c r="N2" s="279" t="s">
        <v>493</v>
      </c>
      <c r="O2" s="281" t="s">
        <v>601</v>
      </c>
      <c r="P2" s="196"/>
      <c r="Q2" s="196"/>
      <c r="R2" s="196"/>
      <c r="S2" s="196"/>
      <c r="T2" s="196"/>
      <c r="U2" s="196"/>
      <c r="V2" s="196"/>
      <c r="W2" s="196"/>
      <c r="X2" s="196"/>
      <c r="Y2" s="196"/>
      <c r="Z2" s="196"/>
      <c r="AA2" s="196"/>
      <c r="AB2" s="196"/>
      <c r="AC2" s="196"/>
      <c r="AD2" s="196"/>
      <c r="AE2" s="196"/>
      <c r="AF2" s="336"/>
      <c r="AG2" s="252"/>
      <c r="AH2" s="252"/>
    </row>
    <row r="3" spans="3:34" ht="17.25" customHeight="1">
      <c r="C3" s="281" t="s">
        <v>283</v>
      </c>
      <c r="D3" s="227" t="s">
        <v>283</v>
      </c>
      <c r="E3" s="227" t="s">
        <v>283</v>
      </c>
      <c r="F3" s="227" t="s">
        <v>283</v>
      </c>
      <c r="G3" s="281" t="s">
        <v>381</v>
      </c>
      <c r="H3" s="281" t="s">
        <v>463</v>
      </c>
      <c r="I3" s="281" t="s">
        <v>383</v>
      </c>
      <c r="J3" s="281" t="s">
        <v>381</v>
      </c>
      <c r="K3" s="281" t="s">
        <v>463</v>
      </c>
      <c r="L3" s="283" t="s">
        <v>464</v>
      </c>
      <c r="M3" s="279" t="s">
        <v>381</v>
      </c>
      <c r="N3" s="279"/>
      <c r="O3" s="281" t="s">
        <v>283</v>
      </c>
      <c r="P3" s="196"/>
      <c r="Q3" s="196"/>
      <c r="R3" s="196"/>
      <c r="S3" s="196"/>
      <c r="T3" s="196"/>
      <c r="U3" s="196"/>
      <c r="V3" s="196"/>
      <c r="W3" s="196"/>
      <c r="X3" s="196"/>
      <c r="Y3" s="196"/>
      <c r="Z3" s="196"/>
      <c r="AA3" s="196"/>
      <c r="AB3" s="196"/>
      <c r="AC3" s="196"/>
      <c r="AD3" s="196"/>
      <c r="AE3" s="196"/>
      <c r="AF3" s="336"/>
      <c r="AG3" s="252"/>
      <c r="AH3" s="252"/>
    </row>
    <row r="4" spans="3:34" ht="33" customHeight="1">
      <c r="C4" s="281">
        <v>1</v>
      </c>
      <c r="D4" s="227" t="s">
        <v>465</v>
      </c>
      <c r="E4" s="227" t="s">
        <v>466</v>
      </c>
      <c r="F4" s="227" t="s">
        <v>467</v>
      </c>
      <c r="G4" s="358">
        <f>'[2]VRF_IDU  '!AH56*3.52</f>
        <v>78.929999999999978</v>
      </c>
      <c r="H4" s="231">
        <f>(G4/3.52)*12</f>
        <v>269.07954545454538</v>
      </c>
      <c r="I4" s="231">
        <f>H4/12</f>
        <v>22.42329545454545</v>
      </c>
      <c r="J4" s="358">
        <f>('[2]VRF_IDU  '!AJ42)*3.52</f>
        <v>87.699999999999989</v>
      </c>
      <c r="K4" s="231">
        <f>(J4/3.52)*12</f>
        <v>298.97727272727269</v>
      </c>
      <c r="L4" s="231" t="s">
        <v>602</v>
      </c>
      <c r="M4" s="359">
        <v>18.52</v>
      </c>
      <c r="N4" s="420" t="s">
        <v>603</v>
      </c>
      <c r="O4" s="229" t="s">
        <v>468</v>
      </c>
    </row>
    <row r="5" spans="3:34" ht="33" customHeight="1">
      <c r="C5" s="281">
        <v>2</v>
      </c>
      <c r="D5" s="227" t="s">
        <v>469</v>
      </c>
      <c r="E5" s="227" t="s">
        <v>466</v>
      </c>
      <c r="F5" s="227" t="s">
        <v>470</v>
      </c>
      <c r="G5" s="358">
        <f>'[2]VRF_IDU  '!AI56*3.52</f>
        <v>33.209999999999994</v>
      </c>
      <c r="H5" s="231">
        <f>(G5/3.52)*12</f>
        <v>113.21590909090908</v>
      </c>
      <c r="I5" s="231">
        <f>H5/12</f>
        <v>9.4346590909090899</v>
      </c>
      <c r="J5" s="358">
        <f>'[2]VRF_IDU  '!AJ53*3.52</f>
        <v>25.599999999999998</v>
      </c>
      <c r="K5" s="231">
        <f>(J5/3.52)*12</f>
        <v>87.272727272727266</v>
      </c>
      <c r="L5" s="360" t="s">
        <v>604</v>
      </c>
      <c r="M5" s="359">
        <v>10.98</v>
      </c>
      <c r="N5" s="421"/>
      <c r="O5" s="229" t="s">
        <v>468</v>
      </c>
    </row>
  </sheetData>
  <mergeCells count="4">
    <mergeCell ref="C1:O1"/>
    <mergeCell ref="G2:I2"/>
    <mergeCell ref="J2:K2"/>
    <mergeCell ref="N4:N5"/>
  </mergeCells>
  <printOptions verticalCentered="1"/>
  <pageMargins left="0.70866141732283505" right="0.70866141732283505" top="0.74803149606299202" bottom="0.74803149606299202" header="0.31496062992126" footer="0.31496062992126"/>
  <pageSetup paperSize="8" scale="55" orientation="landscape"/>
  <headerFooter>
    <oddHeader>&amp;R&amp;12Rev 04_ 13.06.2019</oddHeader>
    <oddFooter>&amp;LModular concepts india Pvt. Ltd&amp;C&amp;P/&amp;N&amp;RAHU SCHEDULE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15"/>
  <sheetViews>
    <sheetView zoomScale="85" zoomScaleNormal="85" zoomScaleSheetLayoutView="70" zoomScalePageLayoutView="98" workbookViewId="0">
      <pane xSplit="4" ySplit="5" topLeftCell="E6" activePane="bottomRight" state="frozen"/>
      <selection pane="topRight"/>
      <selection pane="bottomLeft"/>
      <selection pane="bottomRight" activeCell="E7" sqref="E7:E8"/>
    </sheetView>
  </sheetViews>
  <sheetFormatPr defaultColWidth="9.140625" defaultRowHeight="29.25" customHeight="1"/>
  <cols>
    <col min="1" max="1" width="2.5703125" style="196" customWidth="1"/>
    <col min="2" max="2" width="7.85546875" style="196" customWidth="1"/>
    <col min="3" max="3" width="20.5703125" style="196" customWidth="1"/>
    <col min="4" max="4" width="62.5703125" style="236" customWidth="1"/>
    <col min="5" max="5" width="22.7109375" style="236" customWidth="1"/>
    <col min="6" max="7" width="21.7109375" style="199" customWidth="1"/>
    <col min="8" max="8" width="10.85546875" style="200" customWidth="1"/>
    <col min="9" max="10" width="12.85546875" style="199" customWidth="1"/>
    <col min="11" max="11" width="12.28515625" style="199" customWidth="1"/>
    <col min="12" max="13" width="13.28515625" style="199" customWidth="1"/>
    <col min="14" max="17" width="13.28515625" style="199" hidden="1" customWidth="1"/>
    <col min="18" max="18" width="15" style="199" hidden="1" customWidth="1"/>
    <col min="19" max="19" width="17.7109375" style="201" customWidth="1"/>
    <col min="20" max="20" width="17.7109375" style="202" customWidth="1"/>
    <col min="21" max="21" width="29.7109375" style="200" customWidth="1"/>
    <col min="22" max="22" width="22.140625" style="196" customWidth="1"/>
    <col min="23" max="24" width="34.85546875" style="203" customWidth="1"/>
    <col min="25" max="25" width="25" style="196" customWidth="1"/>
    <col min="26" max="16384" width="9.140625" style="196"/>
  </cols>
  <sheetData>
    <row r="1" spans="2:24" ht="19.5" thickBot="1">
      <c r="B1" s="435" t="s">
        <v>396</v>
      </c>
      <c r="C1" s="436"/>
      <c r="D1" s="436"/>
      <c r="E1" s="436"/>
      <c r="F1" s="436"/>
      <c r="G1" s="436"/>
      <c r="H1" s="436"/>
      <c r="I1" s="436"/>
      <c r="J1" s="436"/>
      <c r="K1" s="436"/>
      <c r="L1" s="436"/>
      <c r="M1" s="436"/>
      <c r="N1" s="436"/>
      <c r="O1" s="436"/>
      <c r="P1" s="436"/>
      <c r="Q1" s="436"/>
      <c r="R1" s="436"/>
      <c r="S1" s="436"/>
      <c r="T1" s="436"/>
      <c r="U1" s="437"/>
    </row>
    <row r="2" spans="2:24" ht="16.5" thickBot="1">
      <c r="B2" s="438" t="s">
        <v>134</v>
      </c>
      <c r="C2" s="440" t="s">
        <v>359</v>
      </c>
      <c r="D2" s="440" t="s">
        <v>360</v>
      </c>
      <c r="E2" s="440" t="s">
        <v>361</v>
      </c>
      <c r="F2" s="442" t="s">
        <v>362</v>
      </c>
      <c r="G2" s="443"/>
      <c r="H2" s="446" t="s">
        <v>5</v>
      </c>
      <c r="I2" s="448" t="s">
        <v>363</v>
      </c>
      <c r="J2" s="449"/>
      <c r="K2" s="449"/>
      <c r="L2" s="449"/>
      <c r="M2" s="450"/>
      <c r="N2" s="450"/>
      <c r="O2" s="450"/>
      <c r="P2" s="449"/>
      <c r="Q2" s="449"/>
      <c r="R2" s="449"/>
      <c r="S2" s="451" t="s">
        <v>364</v>
      </c>
      <c r="T2" s="452"/>
      <c r="U2" s="457" t="s">
        <v>365</v>
      </c>
      <c r="W2" s="206"/>
      <c r="X2" s="206"/>
    </row>
    <row r="3" spans="2:24" ht="15.75" thickBot="1">
      <c r="B3" s="438"/>
      <c r="C3" s="440"/>
      <c r="D3" s="440"/>
      <c r="E3" s="440"/>
      <c r="F3" s="444"/>
      <c r="G3" s="445"/>
      <c r="H3" s="446"/>
      <c r="I3" s="426" t="s">
        <v>366</v>
      </c>
      <c r="J3" s="427"/>
      <c r="K3" s="427"/>
      <c r="L3" s="427"/>
      <c r="M3" s="428" t="s">
        <v>408</v>
      </c>
      <c r="N3" s="428"/>
      <c r="O3" s="428"/>
      <c r="P3" s="427" t="s">
        <v>367</v>
      </c>
      <c r="Q3" s="427"/>
      <c r="R3" s="429"/>
      <c r="S3" s="453"/>
      <c r="T3" s="454"/>
      <c r="U3" s="458"/>
      <c r="W3" s="430" t="s">
        <v>368</v>
      </c>
      <c r="X3" s="430" t="s">
        <v>369</v>
      </c>
    </row>
    <row r="4" spans="2:24" ht="30.75" thickBot="1">
      <c r="B4" s="438"/>
      <c r="C4" s="440"/>
      <c r="D4" s="440"/>
      <c r="E4" s="440"/>
      <c r="F4" s="207" t="s">
        <v>370</v>
      </c>
      <c r="G4" s="207" t="s">
        <v>371</v>
      </c>
      <c r="H4" s="446"/>
      <c r="I4" s="208" t="s">
        <v>372</v>
      </c>
      <c r="J4" s="208" t="s">
        <v>373</v>
      </c>
      <c r="K4" s="208" t="s">
        <v>374</v>
      </c>
      <c r="L4" s="208" t="s">
        <v>375</v>
      </c>
      <c r="M4" s="209" t="s">
        <v>372</v>
      </c>
      <c r="N4" s="209" t="s">
        <v>549</v>
      </c>
      <c r="O4" s="209" t="s">
        <v>550</v>
      </c>
      <c r="P4" s="208" t="s">
        <v>376</v>
      </c>
      <c r="Q4" s="208" t="s">
        <v>377</v>
      </c>
      <c r="R4" s="433" t="s">
        <v>378</v>
      </c>
      <c r="S4" s="455"/>
      <c r="T4" s="456"/>
      <c r="U4" s="458"/>
      <c r="W4" s="431"/>
      <c r="X4" s="431"/>
    </row>
    <row r="5" spans="2:24" ht="15.75" thickBot="1">
      <c r="B5" s="439"/>
      <c r="C5" s="441"/>
      <c r="D5" s="441"/>
      <c r="E5" s="441"/>
      <c r="F5" s="210" t="s">
        <v>379</v>
      </c>
      <c r="G5" s="210" t="s">
        <v>380</v>
      </c>
      <c r="H5" s="447"/>
      <c r="I5" s="211" t="s">
        <v>381</v>
      </c>
      <c r="J5" s="211" t="s">
        <v>381</v>
      </c>
      <c r="K5" s="212" t="s">
        <v>382</v>
      </c>
      <c r="L5" s="212" t="s">
        <v>382</v>
      </c>
      <c r="M5" s="211" t="s">
        <v>381</v>
      </c>
      <c r="N5" s="212" t="s">
        <v>382</v>
      </c>
      <c r="O5" s="212" t="s">
        <v>382</v>
      </c>
      <c r="P5" s="211" t="s">
        <v>383</v>
      </c>
      <c r="Q5" s="211" t="s">
        <v>384</v>
      </c>
      <c r="R5" s="434"/>
      <c r="S5" s="213" t="s">
        <v>22</v>
      </c>
      <c r="T5" s="214" t="s">
        <v>385</v>
      </c>
      <c r="U5" s="459"/>
      <c r="W5" s="432"/>
      <c r="X5" s="432"/>
    </row>
    <row r="6" spans="2:24" ht="15.75" thickBot="1">
      <c r="B6" s="422" t="s">
        <v>386</v>
      </c>
      <c r="C6" s="423"/>
      <c r="D6" s="423"/>
      <c r="E6" s="423"/>
      <c r="F6" s="423"/>
      <c r="G6" s="423"/>
      <c r="H6" s="423"/>
      <c r="I6" s="423"/>
      <c r="J6" s="423"/>
      <c r="K6" s="423"/>
      <c r="L6" s="423"/>
      <c r="M6" s="423"/>
      <c r="N6" s="423"/>
      <c r="O6" s="423"/>
      <c r="P6" s="423"/>
      <c r="Q6" s="423"/>
      <c r="R6" s="423"/>
      <c r="S6" s="423"/>
      <c r="T6" s="423"/>
      <c r="U6" s="424"/>
      <c r="W6" s="215"/>
      <c r="X6" s="215"/>
    </row>
    <row r="7" spans="2:24" ht="30">
      <c r="B7" s="216">
        <v>1</v>
      </c>
      <c r="C7" s="217" t="s">
        <v>387</v>
      </c>
      <c r="D7" s="218" t="s">
        <v>388</v>
      </c>
      <c r="E7" s="217" t="s">
        <v>551</v>
      </c>
      <c r="F7" s="219">
        <f>583</f>
        <v>583</v>
      </c>
      <c r="G7" s="220" t="s">
        <v>283</v>
      </c>
      <c r="H7" s="219">
        <v>1</v>
      </c>
      <c r="I7" s="220">
        <f>7.8</f>
        <v>7.8</v>
      </c>
      <c r="J7" s="221">
        <f>7.8</f>
        <v>7.8</v>
      </c>
      <c r="K7" s="221" t="s">
        <v>389</v>
      </c>
      <c r="L7" s="221" t="s">
        <v>390</v>
      </c>
      <c r="M7" s="221" t="s">
        <v>283</v>
      </c>
      <c r="N7" s="221" t="s">
        <v>283</v>
      </c>
      <c r="O7" s="221" t="s">
        <v>283</v>
      </c>
      <c r="P7" s="221" t="s">
        <v>283</v>
      </c>
      <c r="Q7" s="221" t="s">
        <v>283</v>
      </c>
      <c r="R7" s="221" t="s">
        <v>283</v>
      </c>
      <c r="S7" s="222" t="s">
        <v>391</v>
      </c>
      <c r="T7" s="223">
        <v>2200</v>
      </c>
      <c r="U7" s="224" t="s">
        <v>392</v>
      </c>
      <c r="W7" s="225">
        <f>I7/3.52</f>
        <v>2.2159090909090908</v>
      </c>
      <c r="X7" s="225" t="s">
        <v>283</v>
      </c>
    </row>
    <row r="8" spans="2:24" ht="29.25" customHeight="1">
      <c r="B8" s="226">
        <v>2</v>
      </c>
      <c r="C8" s="227" t="s">
        <v>552</v>
      </c>
      <c r="D8" s="228" t="s">
        <v>553</v>
      </c>
      <c r="E8" s="227" t="s">
        <v>554</v>
      </c>
      <c r="F8" s="229">
        <f>1438</f>
        <v>1438</v>
      </c>
      <c r="G8" s="230">
        <v>75</v>
      </c>
      <c r="H8" s="231">
        <v>1</v>
      </c>
      <c r="I8" s="229">
        <f>15.5</f>
        <v>15.5</v>
      </c>
      <c r="J8" s="230">
        <f>14.5</f>
        <v>14.5</v>
      </c>
      <c r="K8" s="232" t="s">
        <v>555</v>
      </c>
      <c r="L8" s="230" t="s">
        <v>556</v>
      </c>
      <c r="M8" s="230">
        <v>14.2</v>
      </c>
      <c r="N8" s="230">
        <v>16.8</v>
      </c>
      <c r="O8" s="230">
        <v>24.7</v>
      </c>
      <c r="P8" s="221" t="s">
        <v>283</v>
      </c>
      <c r="Q8" s="221" t="s">
        <v>283</v>
      </c>
      <c r="R8" s="221" t="s">
        <v>283</v>
      </c>
      <c r="S8" s="222" t="s">
        <v>391</v>
      </c>
      <c r="T8" s="233">
        <f>(I8/3.52)*1200</f>
        <v>5284.090909090909</v>
      </c>
      <c r="U8" s="234" t="s">
        <v>557</v>
      </c>
      <c r="W8" s="235"/>
      <c r="X8" s="235"/>
    </row>
    <row r="9" spans="2:24" ht="29.25" customHeight="1">
      <c r="D9" s="236" t="s">
        <v>393</v>
      </c>
      <c r="U9" s="237"/>
      <c r="V9" s="238"/>
      <c r="W9" s="239"/>
      <c r="X9" s="240"/>
    </row>
    <row r="10" spans="2:24" ht="29.25" customHeight="1">
      <c r="D10" s="236" t="s">
        <v>394</v>
      </c>
      <c r="U10" s="241"/>
      <c r="V10" s="239"/>
      <c r="W10" s="235"/>
      <c r="X10" s="235"/>
    </row>
    <row r="11" spans="2:24" ht="29.25" customHeight="1">
      <c r="D11" s="242" t="s">
        <v>395</v>
      </c>
      <c r="U11" s="243"/>
      <c r="V11" s="239"/>
      <c r="W11" s="239"/>
      <c r="X11" s="235"/>
    </row>
    <row r="12" spans="2:24" ht="29.25" customHeight="1">
      <c r="D12" s="242"/>
      <c r="U12" s="241"/>
      <c r="V12" s="244"/>
      <c r="W12" s="244"/>
      <c r="X12" s="235"/>
    </row>
    <row r="13" spans="2:24" ht="29.25" customHeight="1">
      <c r="D13" s="242"/>
      <c r="U13" s="245"/>
      <c r="V13" s="246"/>
      <c r="W13" s="244"/>
    </row>
    <row r="15" spans="2:24" ht="29.25" customHeight="1">
      <c r="W15" s="425"/>
      <c r="X15" s="425"/>
    </row>
  </sheetData>
  <mergeCells count="18">
    <mergeCell ref="B1:U1"/>
    <mergeCell ref="B2:B5"/>
    <mergeCell ref="C2:C5"/>
    <mergeCell ref="D2:D5"/>
    <mergeCell ref="E2:E5"/>
    <mergeCell ref="F2:G3"/>
    <mergeCell ref="H2:H5"/>
    <mergeCell ref="I2:R2"/>
    <mergeCell ref="S2:T4"/>
    <mergeCell ref="U2:U5"/>
    <mergeCell ref="B6:U6"/>
    <mergeCell ref="W15:X15"/>
    <mergeCell ref="I3:L3"/>
    <mergeCell ref="M3:O3"/>
    <mergeCell ref="P3:R3"/>
    <mergeCell ref="W3:W5"/>
    <mergeCell ref="X3:X5"/>
    <mergeCell ref="R4:R5"/>
  </mergeCells>
  <printOptions verticalCentered="1"/>
  <pageMargins left="0.70866141732283505" right="0.70866141732283505" top="0.74803149606299202" bottom="0.74803149606299202" header="0.31496062992126" footer="0.31496062992126"/>
  <pageSetup paperSize="8" scale="55" orientation="landscape"/>
  <headerFooter>
    <oddHeader>&amp;R&amp;12Rev 04_ 13.06.2019</oddHeader>
    <oddFooter>&amp;LModular concepts india Pvt. Ltd&amp;C&amp;P/&amp;N&amp;RAHU SCHEDULE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K73"/>
  <sheetViews>
    <sheetView topLeftCell="A5" zoomScale="85" zoomScaleNormal="85" zoomScaleSheetLayoutView="70" zoomScalePageLayoutView="98" workbookViewId="0">
      <pane xSplit="5" ySplit="6" topLeftCell="F38" activePane="bottomRight" state="frozen"/>
      <selection activeCell="A5" sqref="A5"/>
      <selection pane="topRight" activeCell="F5" sqref="F5"/>
      <selection pane="bottomLeft" activeCell="A11" sqref="A11"/>
      <selection pane="bottomRight" activeCell="F47" sqref="F47"/>
    </sheetView>
  </sheetViews>
  <sheetFormatPr defaultColWidth="9.140625" defaultRowHeight="29.25" customHeight="1"/>
  <cols>
    <col min="1" max="1" width="2.5703125" style="196" customWidth="1"/>
    <col min="2" max="2" width="7.85546875" style="196" customWidth="1"/>
    <col min="3" max="3" width="20.5703125" style="196" customWidth="1"/>
    <col min="4" max="4" width="52" style="315" customWidth="1"/>
    <col min="5" max="5" width="22.7109375" style="236" customWidth="1"/>
    <col min="6" max="9" width="21.7109375" style="196" customWidth="1"/>
    <col min="10" max="10" width="17.5703125" style="196" customWidth="1"/>
    <col min="11" max="11" width="16.85546875" style="196" customWidth="1"/>
    <col min="12" max="12" width="10.85546875" style="248" customWidth="1"/>
    <col min="13" max="13" width="10.85546875" style="249" hidden="1" customWidth="1"/>
    <col min="14" max="15" width="12.85546875" style="250" customWidth="1"/>
    <col min="16" max="16" width="12.28515625" style="250" customWidth="1"/>
    <col min="17" max="17" width="13.28515625" style="250" customWidth="1"/>
    <col min="18" max="18" width="12.85546875" style="250" customWidth="1"/>
    <col min="19" max="19" width="11.7109375" style="196" hidden="1" customWidth="1"/>
    <col min="20" max="22" width="13.28515625" style="196" hidden="1" customWidth="1"/>
    <col min="23" max="30" width="15" style="196" hidden="1" customWidth="1"/>
    <col min="31" max="31" width="17.7109375" style="331" customWidth="1"/>
    <col min="32" max="32" width="17.7109375" style="332" customWidth="1"/>
    <col min="33" max="33" width="29.7109375" style="333" customWidth="1"/>
    <col min="34" max="34" width="22.140625" style="196" customWidth="1"/>
    <col min="35" max="36" width="34.85546875" style="203" customWidth="1"/>
    <col min="37" max="37" width="25" style="196" customWidth="1"/>
    <col min="38" max="16384" width="9.140625" style="196"/>
  </cols>
  <sheetData>
    <row r="1" spans="2:37" ht="29.25" hidden="1" customHeight="1">
      <c r="C1" s="197" t="s">
        <v>351</v>
      </c>
      <c r="D1" s="247" t="s">
        <v>352</v>
      </c>
      <c r="E1" s="198"/>
      <c r="S1" s="251"/>
      <c r="T1" s="251"/>
      <c r="U1" s="251"/>
      <c r="V1" s="251"/>
      <c r="AE1" s="201"/>
      <c r="AF1" s="202"/>
      <c r="AG1" s="200"/>
    </row>
    <row r="2" spans="2:37" ht="18.75" hidden="1" customHeight="1">
      <c r="C2" s="197" t="s">
        <v>353</v>
      </c>
      <c r="D2" s="247" t="s">
        <v>354</v>
      </c>
      <c r="E2" s="198"/>
      <c r="S2" s="251"/>
      <c r="T2" s="251"/>
      <c r="U2" s="251"/>
      <c r="V2" s="251"/>
      <c r="AE2" s="201"/>
      <c r="AF2" s="202"/>
      <c r="AG2" s="200"/>
    </row>
    <row r="3" spans="2:37" ht="29.25" hidden="1" customHeight="1">
      <c r="C3" s="197" t="s">
        <v>355</v>
      </c>
      <c r="D3" s="247" t="s">
        <v>356</v>
      </c>
      <c r="E3" s="198"/>
      <c r="H3" s="252"/>
      <c r="N3" s="248"/>
      <c r="P3" s="248"/>
      <c r="S3" s="251"/>
      <c r="T3" s="251"/>
      <c r="U3" s="251"/>
      <c r="V3" s="251"/>
      <c r="AE3" s="201"/>
      <c r="AF3" s="202"/>
      <c r="AG3" s="200"/>
    </row>
    <row r="4" spans="2:37" ht="29.25" hidden="1" customHeight="1">
      <c r="C4" s="204" t="s">
        <v>357</v>
      </c>
      <c r="D4" s="253" t="s">
        <v>358</v>
      </c>
      <c r="E4" s="205"/>
      <c r="S4" s="251"/>
      <c r="T4" s="251"/>
      <c r="U4" s="251"/>
      <c r="V4" s="251"/>
      <c r="AE4" s="201"/>
      <c r="AF4" s="202"/>
      <c r="AG4" s="200"/>
    </row>
    <row r="5" spans="2:37" s="199" customFormat="1" ht="29.25" customHeight="1" thickBot="1">
      <c r="B5" s="530" t="s">
        <v>396</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2"/>
      <c r="AI5" s="254"/>
      <c r="AJ5" s="254"/>
    </row>
    <row r="6" spans="2:37" s="199" customFormat="1" ht="16.5" customHeight="1" thickBot="1">
      <c r="B6" s="533" t="s">
        <v>134</v>
      </c>
      <c r="C6" s="534" t="s">
        <v>359</v>
      </c>
      <c r="D6" s="535" t="s">
        <v>360</v>
      </c>
      <c r="E6" s="534" t="s">
        <v>361</v>
      </c>
      <c r="F6" s="538" t="s">
        <v>362</v>
      </c>
      <c r="G6" s="539"/>
      <c r="H6" s="538" t="s">
        <v>397</v>
      </c>
      <c r="I6" s="539"/>
      <c r="J6" s="534" t="s">
        <v>398</v>
      </c>
      <c r="K6" s="543" t="s">
        <v>399</v>
      </c>
      <c r="L6" s="546" t="s">
        <v>5</v>
      </c>
      <c r="M6" s="515" t="s">
        <v>558</v>
      </c>
      <c r="N6" s="518" t="s">
        <v>363</v>
      </c>
      <c r="O6" s="519"/>
      <c r="P6" s="519"/>
      <c r="Q6" s="519"/>
      <c r="R6" s="519"/>
      <c r="S6" s="519"/>
      <c r="T6" s="519"/>
      <c r="U6" s="519"/>
      <c r="V6" s="519"/>
      <c r="W6" s="520"/>
      <c r="X6" s="521" t="s">
        <v>400</v>
      </c>
      <c r="Y6" s="524" t="s">
        <v>401</v>
      </c>
      <c r="Z6" s="524" t="s">
        <v>402</v>
      </c>
      <c r="AA6" s="255" t="s">
        <v>403</v>
      </c>
      <c r="AB6" s="256" t="s">
        <v>404</v>
      </c>
      <c r="AC6" s="255" t="s">
        <v>405</v>
      </c>
      <c r="AD6" s="527" t="s">
        <v>406</v>
      </c>
      <c r="AE6" s="549" t="s">
        <v>407</v>
      </c>
      <c r="AF6" s="550"/>
      <c r="AG6" s="257" t="s">
        <v>365</v>
      </c>
      <c r="AI6" s="258"/>
      <c r="AJ6" s="258"/>
    </row>
    <row r="7" spans="2:37" s="199" customFormat="1" ht="42.75" customHeight="1" thickBot="1">
      <c r="B7" s="438"/>
      <c r="C7" s="440"/>
      <c r="D7" s="536"/>
      <c r="E7" s="440"/>
      <c r="F7" s="540"/>
      <c r="G7" s="541"/>
      <c r="H7" s="540"/>
      <c r="I7" s="541"/>
      <c r="J7" s="440"/>
      <c r="K7" s="544"/>
      <c r="L7" s="547"/>
      <c r="M7" s="516"/>
      <c r="N7" s="555" t="s">
        <v>366</v>
      </c>
      <c r="O7" s="556"/>
      <c r="P7" s="556"/>
      <c r="Q7" s="557"/>
      <c r="R7" s="558" t="s">
        <v>408</v>
      </c>
      <c r="S7" s="556"/>
      <c r="T7" s="557"/>
      <c r="U7" s="558" t="s">
        <v>367</v>
      </c>
      <c r="V7" s="556"/>
      <c r="W7" s="557"/>
      <c r="X7" s="522"/>
      <c r="Y7" s="525"/>
      <c r="Z7" s="525"/>
      <c r="AA7" s="255"/>
      <c r="AB7" s="256"/>
      <c r="AC7" s="255"/>
      <c r="AD7" s="528"/>
      <c r="AE7" s="551"/>
      <c r="AF7" s="552"/>
      <c r="AG7" s="259"/>
      <c r="AI7" s="260" t="s">
        <v>368</v>
      </c>
      <c r="AJ7" s="260" t="s">
        <v>369</v>
      </c>
    </row>
    <row r="8" spans="2:37" s="199" customFormat="1" ht="69.75" customHeight="1" thickBot="1">
      <c r="B8" s="438"/>
      <c r="C8" s="440"/>
      <c r="D8" s="536"/>
      <c r="E8" s="440"/>
      <c r="F8" s="261" t="s">
        <v>370</v>
      </c>
      <c r="G8" s="261" t="s">
        <v>371</v>
      </c>
      <c r="H8" s="261" t="s">
        <v>370</v>
      </c>
      <c r="I8" s="261" t="s">
        <v>371</v>
      </c>
      <c r="J8" s="542"/>
      <c r="K8" s="545"/>
      <c r="L8" s="548"/>
      <c r="M8" s="517"/>
      <c r="N8" s="262" t="s">
        <v>372</v>
      </c>
      <c r="O8" s="263" t="s">
        <v>373</v>
      </c>
      <c r="P8" s="263" t="s">
        <v>374</v>
      </c>
      <c r="Q8" s="263" t="s">
        <v>375</v>
      </c>
      <c r="R8" s="263" t="s">
        <v>376</v>
      </c>
      <c r="S8" s="263" t="s">
        <v>409</v>
      </c>
      <c r="T8" s="263" t="s">
        <v>410</v>
      </c>
      <c r="U8" s="263" t="s">
        <v>376</v>
      </c>
      <c r="V8" s="263" t="s">
        <v>377</v>
      </c>
      <c r="W8" s="264" t="s">
        <v>378</v>
      </c>
      <c r="X8" s="523"/>
      <c r="Y8" s="526"/>
      <c r="Z8" s="526"/>
      <c r="AA8" s="255"/>
      <c r="AB8" s="256"/>
      <c r="AC8" s="255"/>
      <c r="AD8" s="529"/>
      <c r="AE8" s="553"/>
      <c r="AF8" s="554"/>
      <c r="AG8" s="259"/>
      <c r="AI8" s="265"/>
      <c r="AJ8" s="265"/>
    </row>
    <row r="9" spans="2:37" s="199" customFormat="1" ht="15.75" thickBot="1">
      <c r="B9" s="439"/>
      <c r="C9" s="441"/>
      <c r="D9" s="537"/>
      <c r="E9" s="441"/>
      <c r="F9" s="266" t="s">
        <v>379</v>
      </c>
      <c r="G9" s="266" t="s">
        <v>380</v>
      </c>
      <c r="H9" s="266" t="s">
        <v>379</v>
      </c>
      <c r="I9" s="266" t="s">
        <v>380</v>
      </c>
      <c r="J9" s="266" t="s">
        <v>384</v>
      </c>
      <c r="K9" s="266" t="s">
        <v>384</v>
      </c>
      <c r="L9" s="266"/>
      <c r="M9" s="266" t="s">
        <v>559</v>
      </c>
      <c r="N9" s="267" t="s">
        <v>381</v>
      </c>
      <c r="O9" s="268" t="s">
        <v>381</v>
      </c>
      <c r="P9" s="269" t="s">
        <v>382</v>
      </c>
      <c r="Q9" s="269" t="s">
        <v>382</v>
      </c>
      <c r="R9" s="268" t="s">
        <v>381</v>
      </c>
      <c r="S9" s="269" t="s">
        <v>382</v>
      </c>
      <c r="T9" s="269" t="s">
        <v>382</v>
      </c>
      <c r="U9" s="268" t="s">
        <v>383</v>
      </c>
      <c r="V9" s="268" t="s">
        <v>384</v>
      </c>
      <c r="W9" s="270"/>
      <c r="X9" s="271" t="s">
        <v>411</v>
      </c>
      <c r="Y9" s="268" t="s">
        <v>412</v>
      </c>
      <c r="Z9" s="268" t="s">
        <v>413</v>
      </c>
      <c r="AA9" s="271"/>
      <c r="AB9" s="272"/>
      <c r="AC9" s="271"/>
      <c r="AD9" s="273" t="s">
        <v>414</v>
      </c>
      <c r="AE9" s="273" t="s">
        <v>22</v>
      </c>
      <c r="AF9" s="274" t="s">
        <v>385</v>
      </c>
      <c r="AG9" s="275"/>
      <c r="AI9" s="276"/>
      <c r="AJ9" s="276"/>
    </row>
    <row r="10" spans="2:37" s="199" customFormat="1" ht="29.25" customHeight="1" thickBot="1">
      <c r="B10" s="507" t="s">
        <v>415</v>
      </c>
      <c r="C10" s="508"/>
      <c r="D10" s="508"/>
      <c r="E10" s="508"/>
      <c r="F10" s="508"/>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9"/>
      <c r="AI10" s="277"/>
      <c r="AJ10" s="277"/>
    </row>
    <row r="11" spans="2:37" s="199" customFormat="1" ht="15" customHeight="1">
      <c r="B11" s="216">
        <v>1</v>
      </c>
      <c r="C11" s="505" t="s">
        <v>416</v>
      </c>
      <c r="D11" s="278" t="s">
        <v>417</v>
      </c>
      <c r="E11" s="510" t="s">
        <v>560</v>
      </c>
      <c r="F11" s="494">
        <v>3000</v>
      </c>
      <c r="G11" s="505">
        <v>400</v>
      </c>
      <c r="H11" s="494">
        <v>2900</v>
      </c>
      <c r="I11" s="505" t="s">
        <v>283</v>
      </c>
      <c r="J11" s="505">
        <v>720</v>
      </c>
      <c r="K11" s="505">
        <v>1200</v>
      </c>
      <c r="L11" s="494">
        <v>1</v>
      </c>
      <c r="M11" s="496"/>
      <c r="N11" s="496">
        <v>45</v>
      </c>
      <c r="O11" s="500">
        <v>42.6</v>
      </c>
      <c r="P11" s="503" t="s">
        <v>561</v>
      </c>
      <c r="Q11" s="503" t="s">
        <v>562</v>
      </c>
      <c r="R11" s="496">
        <v>59</v>
      </c>
      <c r="S11" s="498">
        <v>13.5</v>
      </c>
      <c r="T11" s="498">
        <v>26.7</v>
      </c>
      <c r="U11" s="498" t="s">
        <v>283</v>
      </c>
      <c r="V11" s="498" t="s">
        <v>283</v>
      </c>
      <c r="W11" s="498" t="s">
        <v>283</v>
      </c>
      <c r="X11" s="498" t="s">
        <v>418</v>
      </c>
      <c r="Y11" s="498" t="s">
        <v>418</v>
      </c>
      <c r="Z11" s="498" t="s">
        <v>418</v>
      </c>
      <c r="AA11" s="498" t="s">
        <v>418</v>
      </c>
      <c r="AB11" s="498" t="s">
        <v>418</v>
      </c>
      <c r="AC11" s="498" t="s">
        <v>418</v>
      </c>
      <c r="AD11" s="498" t="s">
        <v>419</v>
      </c>
      <c r="AE11" s="489" t="s">
        <v>420</v>
      </c>
      <c r="AF11" s="492">
        <v>5000</v>
      </c>
      <c r="AG11" s="512" t="s">
        <v>563</v>
      </c>
      <c r="AI11" s="466">
        <f>N11/3.52</f>
        <v>12.784090909090908</v>
      </c>
      <c r="AJ11" s="466">
        <f>R11/3.52</f>
        <v>16.761363636363637</v>
      </c>
      <c r="AK11" s="486"/>
    </row>
    <row r="12" spans="2:37" s="199" customFormat="1" ht="15">
      <c r="B12" s="279">
        <v>2</v>
      </c>
      <c r="C12" s="506"/>
      <c r="D12" s="280" t="s">
        <v>421</v>
      </c>
      <c r="E12" s="511"/>
      <c r="F12" s="495"/>
      <c r="G12" s="506"/>
      <c r="H12" s="495"/>
      <c r="I12" s="506"/>
      <c r="J12" s="506"/>
      <c r="K12" s="506"/>
      <c r="L12" s="495"/>
      <c r="M12" s="497"/>
      <c r="N12" s="497"/>
      <c r="O12" s="501"/>
      <c r="P12" s="504"/>
      <c r="Q12" s="504"/>
      <c r="R12" s="497"/>
      <c r="S12" s="499"/>
      <c r="T12" s="499"/>
      <c r="U12" s="499"/>
      <c r="V12" s="499"/>
      <c r="W12" s="499"/>
      <c r="X12" s="499"/>
      <c r="Y12" s="499"/>
      <c r="Z12" s="499"/>
      <c r="AA12" s="499"/>
      <c r="AB12" s="499"/>
      <c r="AC12" s="499"/>
      <c r="AD12" s="499"/>
      <c r="AE12" s="490"/>
      <c r="AF12" s="493"/>
      <c r="AG12" s="513"/>
      <c r="AI12" s="467"/>
      <c r="AJ12" s="467"/>
      <c r="AK12" s="486"/>
    </row>
    <row r="13" spans="2:37" s="199" customFormat="1" ht="15">
      <c r="B13" s="279">
        <v>3</v>
      </c>
      <c r="C13" s="506"/>
      <c r="D13" s="280" t="s">
        <v>422</v>
      </c>
      <c r="E13" s="511"/>
      <c r="F13" s="495"/>
      <c r="G13" s="506"/>
      <c r="H13" s="495"/>
      <c r="I13" s="506"/>
      <c r="J13" s="506"/>
      <c r="K13" s="506"/>
      <c r="L13" s="495"/>
      <c r="M13" s="497"/>
      <c r="N13" s="497"/>
      <c r="O13" s="501"/>
      <c r="P13" s="504"/>
      <c r="Q13" s="504"/>
      <c r="R13" s="497"/>
      <c r="S13" s="499"/>
      <c r="T13" s="499"/>
      <c r="U13" s="499"/>
      <c r="V13" s="499"/>
      <c r="W13" s="499"/>
      <c r="X13" s="499"/>
      <c r="Y13" s="499"/>
      <c r="Z13" s="499"/>
      <c r="AA13" s="499"/>
      <c r="AB13" s="499"/>
      <c r="AC13" s="499"/>
      <c r="AD13" s="499"/>
      <c r="AE13" s="490"/>
      <c r="AF13" s="493"/>
      <c r="AG13" s="513"/>
      <c r="AI13" s="467"/>
      <c r="AJ13" s="467"/>
      <c r="AK13" s="486"/>
    </row>
    <row r="14" spans="2:37" s="199" customFormat="1" ht="15">
      <c r="B14" s="279">
        <v>4</v>
      </c>
      <c r="C14" s="506"/>
      <c r="D14" s="280" t="s">
        <v>423</v>
      </c>
      <c r="E14" s="511"/>
      <c r="F14" s="495"/>
      <c r="G14" s="506"/>
      <c r="H14" s="495"/>
      <c r="I14" s="506"/>
      <c r="J14" s="506"/>
      <c r="K14" s="506"/>
      <c r="L14" s="495"/>
      <c r="M14" s="497"/>
      <c r="N14" s="497"/>
      <c r="O14" s="501"/>
      <c r="P14" s="504"/>
      <c r="Q14" s="504"/>
      <c r="R14" s="497"/>
      <c r="S14" s="499"/>
      <c r="T14" s="499"/>
      <c r="U14" s="499"/>
      <c r="V14" s="499"/>
      <c r="W14" s="499"/>
      <c r="X14" s="499"/>
      <c r="Y14" s="499"/>
      <c r="Z14" s="499"/>
      <c r="AA14" s="499"/>
      <c r="AB14" s="499"/>
      <c r="AC14" s="499"/>
      <c r="AD14" s="499"/>
      <c r="AE14" s="490"/>
      <c r="AF14" s="493"/>
      <c r="AG14" s="513"/>
      <c r="AI14" s="467"/>
      <c r="AJ14" s="467"/>
      <c r="AK14" s="486"/>
    </row>
    <row r="15" spans="2:37" s="199" customFormat="1" ht="15">
      <c r="B15" s="279">
        <v>5</v>
      </c>
      <c r="C15" s="506"/>
      <c r="D15" s="280" t="s">
        <v>424</v>
      </c>
      <c r="E15" s="511"/>
      <c r="F15" s="495"/>
      <c r="G15" s="506"/>
      <c r="H15" s="495"/>
      <c r="I15" s="506"/>
      <c r="J15" s="506"/>
      <c r="K15" s="506"/>
      <c r="L15" s="495"/>
      <c r="M15" s="497"/>
      <c r="N15" s="497"/>
      <c r="O15" s="501"/>
      <c r="P15" s="504"/>
      <c r="Q15" s="504"/>
      <c r="R15" s="497"/>
      <c r="S15" s="499"/>
      <c r="T15" s="499"/>
      <c r="U15" s="499"/>
      <c r="V15" s="499"/>
      <c r="W15" s="499"/>
      <c r="X15" s="499"/>
      <c r="Y15" s="499"/>
      <c r="Z15" s="499"/>
      <c r="AA15" s="499"/>
      <c r="AB15" s="499"/>
      <c r="AC15" s="499"/>
      <c r="AD15" s="499"/>
      <c r="AE15" s="490"/>
      <c r="AF15" s="493"/>
      <c r="AG15" s="513"/>
      <c r="AI15" s="467"/>
      <c r="AJ15" s="467"/>
      <c r="AK15" s="486"/>
    </row>
    <row r="16" spans="2:37" s="199" customFormat="1" ht="15">
      <c r="B16" s="279">
        <v>6</v>
      </c>
      <c r="C16" s="506"/>
      <c r="D16" s="280" t="s">
        <v>425</v>
      </c>
      <c r="E16" s="511"/>
      <c r="F16" s="495"/>
      <c r="G16" s="506"/>
      <c r="H16" s="495"/>
      <c r="I16" s="506"/>
      <c r="J16" s="506"/>
      <c r="K16" s="506"/>
      <c r="L16" s="495"/>
      <c r="M16" s="497"/>
      <c r="N16" s="497"/>
      <c r="O16" s="501"/>
      <c r="P16" s="504"/>
      <c r="Q16" s="504"/>
      <c r="R16" s="497"/>
      <c r="S16" s="499"/>
      <c r="T16" s="499"/>
      <c r="U16" s="499"/>
      <c r="V16" s="499"/>
      <c r="W16" s="499"/>
      <c r="X16" s="499"/>
      <c r="Y16" s="499"/>
      <c r="Z16" s="499"/>
      <c r="AA16" s="499"/>
      <c r="AB16" s="499"/>
      <c r="AC16" s="499"/>
      <c r="AD16" s="499"/>
      <c r="AE16" s="490"/>
      <c r="AF16" s="493"/>
      <c r="AG16" s="513"/>
      <c r="AI16" s="467"/>
      <c r="AJ16" s="467"/>
      <c r="AK16" s="486"/>
    </row>
    <row r="17" spans="2:36" s="199" customFormat="1" ht="15">
      <c r="B17" s="279">
        <v>7</v>
      </c>
      <c r="C17" s="506"/>
      <c r="D17" s="280" t="s">
        <v>426</v>
      </c>
      <c r="E17" s="511"/>
      <c r="F17" s="495"/>
      <c r="G17" s="506"/>
      <c r="H17" s="495"/>
      <c r="I17" s="506"/>
      <c r="J17" s="506"/>
      <c r="K17" s="506"/>
      <c r="L17" s="495"/>
      <c r="M17" s="497"/>
      <c r="N17" s="497"/>
      <c r="O17" s="501"/>
      <c r="P17" s="504"/>
      <c r="Q17" s="504"/>
      <c r="R17" s="497"/>
      <c r="S17" s="499"/>
      <c r="T17" s="499"/>
      <c r="U17" s="499"/>
      <c r="V17" s="499"/>
      <c r="W17" s="499"/>
      <c r="X17" s="499"/>
      <c r="Y17" s="499"/>
      <c r="Z17" s="499"/>
      <c r="AA17" s="499"/>
      <c r="AB17" s="499"/>
      <c r="AC17" s="499"/>
      <c r="AD17" s="499"/>
      <c r="AE17" s="490"/>
      <c r="AF17" s="493"/>
      <c r="AG17" s="513"/>
      <c r="AI17" s="467"/>
      <c r="AJ17" s="467"/>
    </row>
    <row r="18" spans="2:36" s="199" customFormat="1" ht="15">
      <c r="B18" s="279">
        <v>8</v>
      </c>
      <c r="C18" s="506"/>
      <c r="D18" s="280" t="s">
        <v>427</v>
      </c>
      <c r="E18" s="511"/>
      <c r="F18" s="495"/>
      <c r="G18" s="506"/>
      <c r="H18" s="495"/>
      <c r="I18" s="506"/>
      <c r="J18" s="506"/>
      <c r="K18" s="506"/>
      <c r="L18" s="495"/>
      <c r="M18" s="497"/>
      <c r="N18" s="497"/>
      <c r="O18" s="501"/>
      <c r="P18" s="504"/>
      <c r="Q18" s="504"/>
      <c r="R18" s="497"/>
      <c r="S18" s="499"/>
      <c r="T18" s="499"/>
      <c r="U18" s="499"/>
      <c r="V18" s="499"/>
      <c r="W18" s="499"/>
      <c r="X18" s="499"/>
      <c r="Y18" s="499"/>
      <c r="Z18" s="499"/>
      <c r="AA18" s="499"/>
      <c r="AB18" s="499"/>
      <c r="AC18" s="499"/>
      <c r="AD18" s="499"/>
      <c r="AE18" s="490"/>
      <c r="AF18" s="493"/>
      <c r="AG18" s="513"/>
      <c r="AI18" s="467"/>
      <c r="AJ18" s="467"/>
    </row>
    <row r="19" spans="2:36" s="199" customFormat="1" ht="15">
      <c r="B19" s="279">
        <v>9</v>
      </c>
      <c r="C19" s="506"/>
      <c r="D19" s="280" t="s">
        <v>428</v>
      </c>
      <c r="E19" s="511"/>
      <c r="F19" s="495"/>
      <c r="G19" s="506"/>
      <c r="H19" s="495"/>
      <c r="I19" s="506"/>
      <c r="J19" s="506"/>
      <c r="K19" s="506"/>
      <c r="L19" s="495"/>
      <c r="M19" s="497"/>
      <c r="N19" s="497"/>
      <c r="O19" s="501"/>
      <c r="P19" s="504"/>
      <c r="Q19" s="504"/>
      <c r="R19" s="497"/>
      <c r="S19" s="499"/>
      <c r="T19" s="499"/>
      <c r="U19" s="499"/>
      <c r="V19" s="499"/>
      <c r="W19" s="499"/>
      <c r="X19" s="499"/>
      <c r="Y19" s="499"/>
      <c r="Z19" s="499"/>
      <c r="AA19" s="499"/>
      <c r="AB19" s="499"/>
      <c r="AC19" s="499"/>
      <c r="AD19" s="499"/>
      <c r="AE19" s="490"/>
      <c r="AF19" s="493"/>
      <c r="AG19" s="513"/>
      <c r="AI19" s="467"/>
      <c r="AJ19" s="467"/>
    </row>
    <row r="20" spans="2:36" s="199" customFormat="1" ht="15">
      <c r="B20" s="279">
        <v>10</v>
      </c>
      <c r="C20" s="506"/>
      <c r="D20" s="280" t="s">
        <v>429</v>
      </c>
      <c r="E20" s="511"/>
      <c r="F20" s="495"/>
      <c r="G20" s="506"/>
      <c r="H20" s="495"/>
      <c r="I20" s="506"/>
      <c r="J20" s="506"/>
      <c r="K20" s="506"/>
      <c r="L20" s="495"/>
      <c r="M20" s="497"/>
      <c r="N20" s="497"/>
      <c r="O20" s="501"/>
      <c r="P20" s="504"/>
      <c r="Q20" s="504"/>
      <c r="R20" s="497"/>
      <c r="S20" s="499"/>
      <c r="T20" s="499"/>
      <c r="U20" s="499"/>
      <c r="V20" s="499"/>
      <c r="W20" s="499"/>
      <c r="X20" s="499"/>
      <c r="Y20" s="499"/>
      <c r="Z20" s="499"/>
      <c r="AA20" s="499"/>
      <c r="AB20" s="499"/>
      <c r="AC20" s="499"/>
      <c r="AD20" s="499"/>
      <c r="AE20" s="490"/>
      <c r="AF20" s="493"/>
      <c r="AG20" s="513"/>
      <c r="AI20" s="467"/>
      <c r="AJ20" s="467"/>
    </row>
    <row r="21" spans="2:36" s="199" customFormat="1" ht="15">
      <c r="B21" s="279">
        <v>11</v>
      </c>
      <c r="C21" s="506"/>
      <c r="D21" s="280" t="s">
        <v>430</v>
      </c>
      <c r="E21" s="511"/>
      <c r="F21" s="495"/>
      <c r="G21" s="506"/>
      <c r="H21" s="495"/>
      <c r="I21" s="506"/>
      <c r="J21" s="506"/>
      <c r="K21" s="506"/>
      <c r="L21" s="495"/>
      <c r="M21" s="497"/>
      <c r="N21" s="497"/>
      <c r="O21" s="501"/>
      <c r="P21" s="504"/>
      <c r="Q21" s="504"/>
      <c r="R21" s="497"/>
      <c r="S21" s="499"/>
      <c r="T21" s="499"/>
      <c r="U21" s="499"/>
      <c r="V21" s="499"/>
      <c r="W21" s="499"/>
      <c r="X21" s="499"/>
      <c r="Y21" s="499"/>
      <c r="Z21" s="499"/>
      <c r="AA21" s="499"/>
      <c r="AB21" s="499"/>
      <c r="AC21" s="499"/>
      <c r="AD21" s="499"/>
      <c r="AE21" s="490"/>
      <c r="AF21" s="493"/>
      <c r="AG21" s="513"/>
      <c r="AI21" s="467"/>
      <c r="AJ21" s="467"/>
    </row>
    <row r="22" spans="2:36" s="199" customFormat="1" ht="15">
      <c r="B22" s="279">
        <v>12</v>
      </c>
      <c r="C22" s="506"/>
      <c r="D22" s="280" t="s">
        <v>564</v>
      </c>
      <c r="E22" s="511"/>
      <c r="F22" s="495"/>
      <c r="G22" s="506"/>
      <c r="H22" s="495"/>
      <c r="I22" s="506"/>
      <c r="J22" s="506"/>
      <c r="K22" s="506"/>
      <c r="L22" s="495"/>
      <c r="M22" s="497"/>
      <c r="N22" s="497"/>
      <c r="O22" s="501"/>
      <c r="P22" s="504"/>
      <c r="Q22" s="504"/>
      <c r="R22" s="497"/>
      <c r="S22" s="499"/>
      <c r="T22" s="499"/>
      <c r="U22" s="499"/>
      <c r="V22" s="499"/>
      <c r="W22" s="499"/>
      <c r="X22" s="499"/>
      <c r="Y22" s="499"/>
      <c r="Z22" s="499"/>
      <c r="AA22" s="499"/>
      <c r="AB22" s="499"/>
      <c r="AC22" s="499"/>
      <c r="AD22" s="499"/>
      <c r="AE22" s="490"/>
      <c r="AF22" s="493"/>
      <c r="AG22" s="513"/>
      <c r="AI22" s="467"/>
      <c r="AJ22" s="467"/>
    </row>
    <row r="23" spans="2:36" s="199" customFormat="1" ht="15">
      <c r="B23" s="279">
        <v>13</v>
      </c>
      <c r="C23" s="506"/>
      <c r="D23" s="280" t="s">
        <v>431</v>
      </c>
      <c r="E23" s="511"/>
      <c r="F23" s="495"/>
      <c r="G23" s="506"/>
      <c r="H23" s="495"/>
      <c r="I23" s="506"/>
      <c r="J23" s="506"/>
      <c r="K23" s="506"/>
      <c r="L23" s="495"/>
      <c r="M23" s="497"/>
      <c r="N23" s="497"/>
      <c r="O23" s="501"/>
      <c r="P23" s="504"/>
      <c r="Q23" s="504"/>
      <c r="R23" s="497"/>
      <c r="S23" s="499"/>
      <c r="T23" s="499"/>
      <c r="U23" s="499"/>
      <c r="V23" s="499"/>
      <c r="W23" s="499"/>
      <c r="X23" s="499"/>
      <c r="Y23" s="499"/>
      <c r="Z23" s="499"/>
      <c r="AA23" s="499"/>
      <c r="AB23" s="499"/>
      <c r="AC23" s="499"/>
      <c r="AD23" s="499"/>
      <c r="AE23" s="490"/>
      <c r="AF23" s="493"/>
      <c r="AG23" s="513"/>
      <c r="AI23" s="467"/>
      <c r="AJ23" s="467"/>
    </row>
    <row r="24" spans="2:36" s="199" customFormat="1" ht="15">
      <c r="B24" s="279">
        <v>14</v>
      </c>
      <c r="C24" s="506"/>
      <c r="D24" s="280" t="s">
        <v>432</v>
      </c>
      <c r="E24" s="511"/>
      <c r="F24" s="495"/>
      <c r="G24" s="506"/>
      <c r="H24" s="495"/>
      <c r="I24" s="506"/>
      <c r="J24" s="506"/>
      <c r="K24" s="506"/>
      <c r="L24" s="495"/>
      <c r="M24" s="497"/>
      <c r="N24" s="497"/>
      <c r="O24" s="501"/>
      <c r="P24" s="504"/>
      <c r="Q24" s="504"/>
      <c r="R24" s="497"/>
      <c r="S24" s="499"/>
      <c r="T24" s="499"/>
      <c r="U24" s="499"/>
      <c r="V24" s="499"/>
      <c r="W24" s="499"/>
      <c r="X24" s="499"/>
      <c r="Y24" s="499"/>
      <c r="Z24" s="499"/>
      <c r="AA24" s="499"/>
      <c r="AB24" s="499"/>
      <c r="AC24" s="499"/>
      <c r="AD24" s="499"/>
      <c r="AE24" s="490"/>
      <c r="AF24" s="493"/>
      <c r="AG24" s="513"/>
      <c r="AI24" s="467"/>
      <c r="AJ24" s="467"/>
    </row>
    <row r="25" spans="2:36" s="199" customFormat="1" ht="15">
      <c r="B25" s="279">
        <v>15</v>
      </c>
      <c r="C25" s="506"/>
      <c r="D25" s="280" t="s">
        <v>433</v>
      </c>
      <c r="E25" s="511"/>
      <c r="F25" s="495"/>
      <c r="G25" s="506"/>
      <c r="H25" s="495"/>
      <c r="I25" s="506"/>
      <c r="J25" s="506"/>
      <c r="K25" s="506"/>
      <c r="L25" s="495"/>
      <c r="M25" s="497"/>
      <c r="N25" s="497"/>
      <c r="O25" s="501"/>
      <c r="P25" s="504"/>
      <c r="Q25" s="504"/>
      <c r="R25" s="497"/>
      <c r="S25" s="499"/>
      <c r="T25" s="499"/>
      <c r="U25" s="499"/>
      <c r="V25" s="499"/>
      <c r="W25" s="499"/>
      <c r="X25" s="499"/>
      <c r="Y25" s="499"/>
      <c r="Z25" s="499"/>
      <c r="AA25" s="499"/>
      <c r="AB25" s="499"/>
      <c r="AC25" s="499"/>
      <c r="AD25" s="499"/>
      <c r="AE25" s="490"/>
      <c r="AF25" s="493"/>
      <c r="AG25" s="513"/>
      <c r="AI25" s="467"/>
      <c r="AJ25" s="467"/>
    </row>
    <row r="26" spans="2:36" s="199" customFormat="1" ht="15">
      <c r="B26" s="279">
        <v>16</v>
      </c>
      <c r="C26" s="506"/>
      <c r="D26" s="280" t="s">
        <v>434</v>
      </c>
      <c r="E26" s="511"/>
      <c r="F26" s="495"/>
      <c r="G26" s="506"/>
      <c r="H26" s="495"/>
      <c r="I26" s="506"/>
      <c r="J26" s="506"/>
      <c r="K26" s="506"/>
      <c r="L26" s="495"/>
      <c r="M26" s="497"/>
      <c r="N26" s="497"/>
      <c r="O26" s="501"/>
      <c r="P26" s="504"/>
      <c r="Q26" s="504"/>
      <c r="R26" s="497"/>
      <c r="S26" s="499"/>
      <c r="T26" s="499"/>
      <c r="U26" s="499"/>
      <c r="V26" s="499"/>
      <c r="W26" s="499"/>
      <c r="X26" s="499"/>
      <c r="Y26" s="499"/>
      <c r="Z26" s="499"/>
      <c r="AA26" s="499"/>
      <c r="AB26" s="499"/>
      <c r="AC26" s="499"/>
      <c r="AD26" s="499"/>
      <c r="AE26" s="490"/>
      <c r="AF26" s="493"/>
      <c r="AG26" s="513"/>
      <c r="AI26" s="467"/>
      <c r="AJ26" s="467"/>
    </row>
    <row r="27" spans="2:36" s="199" customFormat="1" ht="15">
      <c r="B27" s="279"/>
      <c r="C27" s="506"/>
      <c r="D27" s="280" t="s">
        <v>444</v>
      </c>
      <c r="E27" s="511"/>
      <c r="F27" s="495"/>
      <c r="G27" s="506"/>
      <c r="H27" s="495"/>
      <c r="I27" s="506"/>
      <c r="J27" s="506"/>
      <c r="K27" s="506"/>
      <c r="L27" s="495"/>
      <c r="M27" s="497"/>
      <c r="N27" s="497"/>
      <c r="O27" s="501"/>
      <c r="P27" s="504"/>
      <c r="Q27" s="504"/>
      <c r="R27" s="497"/>
      <c r="S27" s="499"/>
      <c r="T27" s="499"/>
      <c r="U27" s="499"/>
      <c r="V27" s="499"/>
      <c r="W27" s="499"/>
      <c r="X27" s="499"/>
      <c r="Y27" s="499"/>
      <c r="Z27" s="499"/>
      <c r="AA27" s="499"/>
      <c r="AB27" s="499"/>
      <c r="AC27" s="499"/>
      <c r="AD27" s="499"/>
      <c r="AE27" s="490"/>
      <c r="AF27" s="493"/>
      <c r="AG27" s="513"/>
      <c r="AI27" s="467"/>
      <c r="AJ27" s="467"/>
    </row>
    <row r="28" spans="2:36" s="199" customFormat="1" ht="15">
      <c r="B28" s="279">
        <v>17</v>
      </c>
      <c r="C28" s="482"/>
      <c r="D28" s="280" t="s">
        <v>435</v>
      </c>
      <c r="E28" s="472"/>
      <c r="F28" s="476"/>
      <c r="G28" s="482"/>
      <c r="H28" s="476"/>
      <c r="I28" s="482"/>
      <c r="J28" s="482"/>
      <c r="K28" s="482"/>
      <c r="L28" s="476"/>
      <c r="M28" s="478"/>
      <c r="N28" s="478"/>
      <c r="O28" s="502"/>
      <c r="P28" s="480"/>
      <c r="Q28" s="480"/>
      <c r="R28" s="478"/>
      <c r="S28" s="474"/>
      <c r="T28" s="474"/>
      <c r="U28" s="474"/>
      <c r="V28" s="474"/>
      <c r="W28" s="474"/>
      <c r="X28" s="474"/>
      <c r="Y28" s="474"/>
      <c r="Z28" s="474"/>
      <c r="AA28" s="474"/>
      <c r="AB28" s="474"/>
      <c r="AC28" s="474"/>
      <c r="AD28" s="474"/>
      <c r="AE28" s="491"/>
      <c r="AF28" s="463"/>
      <c r="AG28" s="514"/>
      <c r="AI28" s="485"/>
      <c r="AJ28" s="485"/>
    </row>
    <row r="29" spans="2:36" s="199" customFormat="1" ht="30">
      <c r="B29" s="279">
        <v>18</v>
      </c>
      <c r="C29" s="281" t="s">
        <v>436</v>
      </c>
      <c r="D29" s="487" t="s">
        <v>437</v>
      </c>
      <c r="E29" s="282" t="s">
        <v>565</v>
      </c>
      <c r="F29" s="283">
        <f>999-F30-F30</f>
        <v>615.72621885310514</v>
      </c>
      <c r="G29" s="281">
        <v>150</v>
      </c>
      <c r="H29" s="281" t="s">
        <v>283</v>
      </c>
      <c r="I29" s="281" t="s">
        <v>283</v>
      </c>
      <c r="J29" s="281" t="s">
        <v>283</v>
      </c>
      <c r="K29" s="281" t="s">
        <v>283</v>
      </c>
      <c r="L29" s="279">
        <v>1</v>
      </c>
      <c r="M29" s="284">
        <v>14</v>
      </c>
      <c r="N29" s="284">
        <f>13.2-3.52</f>
        <v>9.68</v>
      </c>
      <c r="O29" s="285">
        <v>8</v>
      </c>
      <c r="P29" s="226" t="s">
        <v>283</v>
      </c>
      <c r="Q29" s="226" t="s">
        <v>283</v>
      </c>
      <c r="R29" s="286">
        <v>6</v>
      </c>
      <c r="S29" s="226" t="s">
        <v>283</v>
      </c>
      <c r="T29" s="226" t="s">
        <v>283</v>
      </c>
      <c r="U29" s="226" t="s">
        <v>283</v>
      </c>
      <c r="V29" s="226" t="s">
        <v>283</v>
      </c>
      <c r="W29" s="226" t="s">
        <v>283</v>
      </c>
      <c r="X29" s="226" t="s">
        <v>283</v>
      </c>
      <c r="Y29" s="226" t="s">
        <v>283</v>
      </c>
      <c r="Z29" s="226" t="s">
        <v>283</v>
      </c>
      <c r="AA29" s="226" t="s">
        <v>283</v>
      </c>
      <c r="AB29" s="226" t="s">
        <v>283</v>
      </c>
      <c r="AC29" s="226" t="s">
        <v>283</v>
      </c>
      <c r="AD29" s="226" t="s">
        <v>283</v>
      </c>
      <c r="AE29" s="287" t="s">
        <v>438</v>
      </c>
      <c r="AF29" s="288">
        <v>724</v>
      </c>
      <c r="AG29" s="289" t="s">
        <v>439</v>
      </c>
      <c r="AI29" s="290">
        <f>N29/3.52</f>
        <v>2.75</v>
      </c>
      <c r="AJ29" s="290">
        <f>R29/3.52</f>
        <v>1.7045454545454546</v>
      </c>
    </row>
    <row r="30" spans="2:36" s="199" customFormat="1" ht="30">
      <c r="B30" s="279">
        <v>19</v>
      </c>
      <c r="C30" s="281" t="s">
        <v>440</v>
      </c>
      <c r="D30" s="488"/>
      <c r="E30" s="282" t="s">
        <v>566</v>
      </c>
      <c r="F30" s="291">
        <f>406/2.11859</f>
        <v>191.6368905734474</v>
      </c>
      <c r="G30" s="292" t="s">
        <v>283</v>
      </c>
      <c r="H30" s="292" t="s">
        <v>283</v>
      </c>
      <c r="I30" s="292" t="s">
        <v>283</v>
      </c>
      <c r="J30" s="292" t="s">
        <v>283</v>
      </c>
      <c r="K30" s="292" t="s">
        <v>283</v>
      </c>
      <c r="L30" s="293">
        <v>2</v>
      </c>
      <c r="M30" s="294">
        <v>2.8</v>
      </c>
      <c r="N30" s="294">
        <f>5.4/2</f>
        <v>2.7</v>
      </c>
      <c r="O30" s="295">
        <f>3/2</f>
        <v>1.5</v>
      </c>
      <c r="P30" s="226" t="s">
        <v>283</v>
      </c>
      <c r="Q30" s="226" t="s">
        <v>283</v>
      </c>
      <c r="R30" s="281">
        <f>3.1/2</f>
        <v>1.55</v>
      </c>
      <c r="S30" s="226" t="s">
        <v>283</v>
      </c>
      <c r="T30" s="226" t="s">
        <v>283</v>
      </c>
      <c r="U30" s="296" t="s">
        <v>283</v>
      </c>
      <c r="V30" s="296" t="s">
        <v>283</v>
      </c>
      <c r="W30" s="296" t="s">
        <v>283</v>
      </c>
      <c r="X30" s="296" t="s">
        <v>283</v>
      </c>
      <c r="Y30" s="296" t="s">
        <v>283</v>
      </c>
      <c r="Z30" s="296" t="s">
        <v>283</v>
      </c>
      <c r="AA30" s="296" t="s">
        <v>283</v>
      </c>
      <c r="AB30" s="296" t="s">
        <v>283</v>
      </c>
      <c r="AC30" s="296" t="s">
        <v>283</v>
      </c>
      <c r="AD30" s="296" t="s">
        <v>283</v>
      </c>
      <c r="AE30" s="287" t="s">
        <v>438</v>
      </c>
      <c r="AF30" s="288">
        <v>57</v>
      </c>
      <c r="AG30" s="289"/>
      <c r="AI30" s="290">
        <f>(N30/3.52)*L30</f>
        <v>1.5340909090909092</v>
      </c>
      <c r="AJ30" s="290">
        <f>(R30/3.52)*L30</f>
        <v>0.88068181818181823</v>
      </c>
    </row>
    <row r="31" spans="2:36" s="199" customFormat="1" ht="15" customHeight="1">
      <c r="B31" s="279">
        <v>20</v>
      </c>
      <c r="C31" s="481" t="s">
        <v>436</v>
      </c>
      <c r="D31" s="280" t="s">
        <v>441</v>
      </c>
      <c r="E31" s="483" t="s">
        <v>446</v>
      </c>
      <c r="F31" s="481">
        <v>250</v>
      </c>
      <c r="G31" s="481">
        <v>30</v>
      </c>
      <c r="H31" s="481" t="s">
        <v>283</v>
      </c>
      <c r="I31" s="481" t="s">
        <v>283</v>
      </c>
      <c r="J31" s="481" t="s">
        <v>283</v>
      </c>
      <c r="K31" s="481" t="s">
        <v>283</v>
      </c>
      <c r="L31" s="475">
        <v>1</v>
      </c>
      <c r="M31" s="477">
        <v>8</v>
      </c>
      <c r="N31" s="471">
        <v>5.4</v>
      </c>
      <c r="O31" s="479">
        <v>4</v>
      </c>
      <c r="P31" s="473" t="s">
        <v>283</v>
      </c>
      <c r="Q31" s="473" t="s">
        <v>283</v>
      </c>
      <c r="R31" s="471">
        <v>5.4</v>
      </c>
      <c r="S31" s="473" t="s">
        <v>283</v>
      </c>
      <c r="T31" s="473" t="s">
        <v>283</v>
      </c>
      <c r="U31" s="473" t="s">
        <v>283</v>
      </c>
      <c r="V31" s="473" t="s">
        <v>283</v>
      </c>
      <c r="W31" s="473" t="s">
        <v>283</v>
      </c>
      <c r="X31" s="296" t="s">
        <v>283</v>
      </c>
      <c r="Y31" s="296" t="s">
        <v>283</v>
      </c>
      <c r="Z31" s="296" t="s">
        <v>283</v>
      </c>
      <c r="AA31" s="296" t="s">
        <v>283</v>
      </c>
      <c r="AB31" s="296" t="s">
        <v>283</v>
      </c>
      <c r="AC31" s="296" t="s">
        <v>283</v>
      </c>
      <c r="AD31" s="296" t="s">
        <v>283</v>
      </c>
      <c r="AE31" s="460" t="s">
        <v>438</v>
      </c>
      <c r="AF31" s="462">
        <v>198</v>
      </c>
      <c r="AG31" s="464"/>
      <c r="AI31" s="466">
        <f>N31/3.52</f>
        <v>1.5340909090909092</v>
      </c>
      <c r="AJ31" s="466">
        <f>R31/3.52</f>
        <v>1.5340909090909092</v>
      </c>
    </row>
    <row r="32" spans="2:36" s="199" customFormat="1" ht="15">
      <c r="B32" s="279">
        <v>21</v>
      </c>
      <c r="C32" s="482"/>
      <c r="D32" s="280" t="s">
        <v>442</v>
      </c>
      <c r="E32" s="484"/>
      <c r="F32" s="482"/>
      <c r="G32" s="482"/>
      <c r="H32" s="482"/>
      <c r="I32" s="482"/>
      <c r="J32" s="482"/>
      <c r="K32" s="482"/>
      <c r="L32" s="476"/>
      <c r="M32" s="478"/>
      <c r="N32" s="472"/>
      <c r="O32" s="480"/>
      <c r="P32" s="474"/>
      <c r="Q32" s="474"/>
      <c r="R32" s="472"/>
      <c r="S32" s="474"/>
      <c r="T32" s="474"/>
      <c r="U32" s="474"/>
      <c r="V32" s="474"/>
      <c r="W32" s="474"/>
      <c r="X32" s="297" t="s">
        <v>283</v>
      </c>
      <c r="Y32" s="297" t="s">
        <v>283</v>
      </c>
      <c r="Z32" s="297" t="s">
        <v>283</v>
      </c>
      <c r="AA32" s="297" t="s">
        <v>283</v>
      </c>
      <c r="AB32" s="297" t="s">
        <v>283</v>
      </c>
      <c r="AC32" s="297" t="s">
        <v>283</v>
      </c>
      <c r="AD32" s="297" t="s">
        <v>283</v>
      </c>
      <c r="AE32" s="461"/>
      <c r="AF32" s="463"/>
      <c r="AG32" s="465"/>
      <c r="AI32" s="485"/>
      <c r="AJ32" s="485"/>
    </row>
    <row r="33" spans="2:36" s="199" customFormat="1" ht="15" customHeight="1">
      <c r="B33" s="279">
        <v>23</v>
      </c>
      <c r="C33" s="481" t="s">
        <v>436</v>
      </c>
      <c r="D33" s="280" t="s">
        <v>443</v>
      </c>
      <c r="E33" s="483" t="s">
        <v>567</v>
      </c>
      <c r="F33" s="481">
        <v>139</v>
      </c>
      <c r="G33" s="481">
        <v>30</v>
      </c>
      <c r="H33" s="481" t="s">
        <v>283</v>
      </c>
      <c r="I33" s="481" t="s">
        <v>283</v>
      </c>
      <c r="J33" s="481" t="s">
        <v>283</v>
      </c>
      <c r="K33" s="481" t="s">
        <v>283</v>
      </c>
      <c r="L33" s="475">
        <v>1</v>
      </c>
      <c r="M33" s="477">
        <v>4.5</v>
      </c>
      <c r="N33" s="471">
        <v>4</v>
      </c>
      <c r="O33" s="479">
        <v>3.1</v>
      </c>
      <c r="P33" s="473" t="s">
        <v>283</v>
      </c>
      <c r="Q33" s="473" t="s">
        <v>283</v>
      </c>
      <c r="R33" s="471">
        <v>4</v>
      </c>
      <c r="S33" s="473" t="s">
        <v>283</v>
      </c>
      <c r="T33" s="473" t="s">
        <v>283</v>
      </c>
      <c r="U33" s="473" t="s">
        <v>283</v>
      </c>
      <c r="V33" s="473" t="s">
        <v>283</v>
      </c>
      <c r="W33" s="473" t="s">
        <v>283</v>
      </c>
      <c r="X33" s="296" t="s">
        <v>283</v>
      </c>
      <c r="Y33" s="296" t="s">
        <v>283</v>
      </c>
      <c r="Z33" s="296" t="s">
        <v>283</v>
      </c>
      <c r="AA33" s="296" t="s">
        <v>283</v>
      </c>
      <c r="AB33" s="296" t="s">
        <v>283</v>
      </c>
      <c r="AC33" s="296" t="s">
        <v>283</v>
      </c>
      <c r="AD33" s="296" t="s">
        <v>283</v>
      </c>
      <c r="AE33" s="460" t="s">
        <v>438</v>
      </c>
      <c r="AF33" s="462">
        <v>98</v>
      </c>
      <c r="AG33" s="464"/>
      <c r="AI33" s="466">
        <f t="shared" ref="AI33:AI41" si="0">N33/3.52</f>
        <v>1.1363636363636365</v>
      </c>
      <c r="AJ33" s="466">
        <f t="shared" ref="AJ33:AJ41" si="1">R33/3.52</f>
        <v>1.1363636363636365</v>
      </c>
    </row>
    <row r="34" spans="2:36" s="199" customFormat="1" ht="15">
      <c r="B34" s="279">
        <v>24</v>
      </c>
      <c r="C34" s="482"/>
      <c r="D34" s="280" t="s">
        <v>568</v>
      </c>
      <c r="E34" s="484"/>
      <c r="F34" s="482"/>
      <c r="G34" s="482"/>
      <c r="H34" s="482"/>
      <c r="I34" s="482"/>
      <c r="J34" s="482"/>
      <c r="K34" s="482"/>
      <c r="L34" s="476"/>
      <c r="M34" s="478"/>
      <c r="N34" s="472"/>
      <c r="O34" s="480"/>
      <c r="P34" s="474"/>
      <c r="Q34" s="474"/>
      <c r="R34" s="472"/>
      <c r="S34" s="474"/>
      <c r="T34" s="474"/>
      <c r="U34" s="474"/>
      <c r="V34" s="474"/>
      <c r="W34" s="474"/>
      <c r="X34" s="298" t="s">
        <v>283</v>
      </c>
      <c r="Y34" s="298" t="s">
        <v>283</v>
      </c>
      <c r="Z34" s="298" t="s">
        <v>283</v>
      </c>
      <c r="AA34" s="298" t="s">
        <v>283</v>
      </c>
      <c r="AB34" s="298" t="s">
        <v>283</v>
      </c>
      <c r="AC34" s="298" t="s">
        <v>283</v>
      </c>
      <c r="AD34" s="298" t="s">
        <v>283</v>
      </c>
      <c r="AE34" s="461"/>
      <c r="AF34" s="463"/>
      <c r="AG34" s="465"/>
      <c r="AI34" s="467"/>
      <c r="AJ34" s="467"/>
    </row>
    <row r="35" spans="2:36" s="199" customFormat="1" ht="30">
      <c r="B35" s="279">
        <v>26</v>
      </c>
      <c r="C35" s="281" t="s">
        <v>436</v>
      </c>
      <c r="D35" s="280" t="s">
        <v>445</v>
      </c>
      <c r="E35" s="281" t="s">
        <v>569</v>
      </c>
      <c r="F35" s="281">
        <v>177</v>
      </c>
      <c r="G35" s="281">
        <v>30</v>
      </c>
      <c r="H35" s="281" t="s">
        <v>283</v>
      </c>
      <c r="I35" s="281" t="s">
        <v>283</v>
      </c>
      <c r="J35" s="281" t="s">
        <v>283</v>
      </c>
      <c r="K35" s="281" t="s">
        <v>283</v>
      </c>
      <c r="L35" s="283">
        <v>1</v>
      </c>
      <c r="M35" s="299">
        <v>7.1</v>
      </c>
      <c r="N35" s="281">
        <v>1.8</v>
      </c>
      <c r="O35" s="226">
        <v>1.6</v>
      </c>
      <c r="P35" s="226" t="s">
        <v>283</v>
      </c>
      <c r="Q35" s="226" t="s">
        <v>283</v>
      </c>
      <c r="R35" s="281">
        <v>0.8</v>
      </c>
      <c r="S35" s="226" t="s">
        <v>283</v>
      </c>
      <c r="T35" s="226" t="s">
        <v>283</v>
      </c>
      <c r="U35" s="226" t="s">
        <v>283</v>
      </c>
      <c r="V35" s="226" t="s">
        <v>283</v>
      </c>
      <c r="W35" s="226" t="s">
        <v>283</v>
      </c>
      <c r="X35" s="226" t="s">
        <v>283</v>
      </c>
      <c r="Y35" s="226" t="s">
        <v>283</v>
      </c>
      <c r="Z35" s="226" t="s">
        <v>283</v>
      </c>
      <c r="AA35" s="226" t="s">
        <v>283</v>
      </c>
      <c r="AB35" s="226" t="s">
        <v>283</v>
      </c>
      <c r="AC35" s="226" t="s">
        <v>283</v>
      </c>
      <c r="AD35" s="226" t="s">
        <v>283</v>
      </c>
      <c r="AE35" s="287" t="s">
        <v>438</v>
      </c>
      <c r="AF35" s="288">
        <v>140</v>
      </c>
      <c r="AG35" s="289"/>
      <c r="AI35" s="290">
        <f t="shared" si="0"/>
        <v>0.51136363636363635</v>
      </c>
      <c r="AJ35" s="290">
        <f t="shared" si="1"/>
        <v>0.22727272727272729</v>
      </c>
    </row>
    <row r="36" spans="2:36" s="199" customFormat="1" ht="30">
      <c r="B36" s="293">
        <v>27</v>
      </c>
      <c r="C36" s="286" t="s">
        <v>440</v>
      </c>
      <c r="D36" s="300" t="s">
        <v>447</v>
      </c>
      <c r="E36" s="292" t="s">
        <v>570</v>
      </c>
      <c r="F36" s="292">
        <v>350</v>
      </c>
      <c r="G36" s="292" t="s">
        <v>283</v>
      </c>
      <c r="H36" s="292" t="s">
        <v>283</v>
      </c>
      <c r="I36" s="292" t="s">
        <v>283</v>
      </c>
      <c r="J36" s="292" t="s">
        <v>283</v>
      </c>
      <c r="K36" s="292" t="s">
        <v>283</v>
      </c>
      <c r="L36" s="291">
        <v>1</v>
      </c>
      <c r="M36" s="301"/>
      <c r="N36" s="292">
        <v>6.1</v>
      </c>
      <c r="O36" s="296">
        <v>5.4</v>
      </c>
      <c r="P36" s="296" t="s">
        <v>283</v>
      </c>
      <c r="Q36" s="296" t="s">
        <v>283</v>
      </c>
      <c r="R36" s="292">
        <v>5</v>
      </c>
      <c r="S36" s="302" t="s">
        <v>283</v>
      </c>
      <c r="T36" s="302" t="s">
        <v>283</v>
      </c>
      <c r="U36" s="302" t="s">
        <v>283</v>
      </c>
      <c r="V36" s="302" t="s">
        <v>283</v>
      </c>
      <c r="W36" s="302" t="s">
        <v>283</v>
      </c>
      <c r="X36" s="302" t="s">
        <v>283</v>
      </c>
      <c r="Y36" s="302" t="s">
        <v>283</v>
      </c>
      <c r="Z36" s="302" t="s">
        <v>283</v>
      </c>
      <c r="AA36" s="302" t="s">
        <v>283</v>
      </c>
      <c r="AB36" s="302" t="s">
        <v>283</v>
      </c>
      <c r="AC36" s="302" t="s">
        <v>283</v>
      </c>
      <c r="AD36" s="302" t="s">
        <v>283</v>
      </c>
      <c r="AE36" s="303" t="s">
        <v>438</v>
      </c>
      <c r="AF36" s="304">
        <v>140</v>
      </c>
      <c r="AG36" s="305"/>
      <c r="AI36" s="290">
        <f t="shared" si="0"/>
        <v>1.7329545454545454</v>
      </c>
      <c r="AJ36" s="290">
        <f t="shared" si="1"/>
        <v>1.4204545454545454</v>
      </c>
    </row>
    <row r="37" spans="2:36" s="199" customFormat="1" ht="30">
      <c r="B37" s="279">
        <v>7</v>
      </c>
      <c r="C37" s="281" t="s">
        <v>440</v>
      </c>
      <c r="D37" s="280" t="s">
        <v>426</v>
      </c>
      <c r="E37" s="281" t="s">
        <v>571</v>
      </c>
      <c r="F37" s="281">
        <v>235</v>
      </c>
      <c r="G37" s="281" t="s">
        <v>283</v>
      </c>
      <c r="H37" s="292" t="s">
        <v>283</v>
      </c>
      <c r="I37" s="292" t="s">
        <v>283</v>
      </c>
      <c r="J37" s="292" t="s">
        <v>283</v>
      </c>
      <c r="K37" s="292" t="s">
        <v>283</v>
      </c>
      <c r="L37" s="283">
        <v>1</v>
      </c>
      <c r="M37" s="299"/>
      <c r="N37" s="281">
        <v>3.2</v>
      </c>
      <c r="O37" s="226">
        <v>3.1</v>
      </c>
      <c r="P37" s="306" t="s">
        <v>283</v>
      </c>
      <c r="Q37" s="306" t="s">
        <v>283</v>
      </c>
      <c r="R37" s="281">
        <v>2.2999999999999998</v>
      </c>
      <c r="S37" s="306"/>
      <c r="T37" s="306"/>
      <c r="U37" s="306"/>
      <c r="V37" s="306"/>
      <c r="W37" s="306"/>
      <c r="X37" s="306"/>
      <c r="Y37" s="306"/>
      <c r="Z37" s="306"/>
      <c r="AA37" s="306"/>
      <c r="AB37" s="306"/>
      <c r="AC37" s="306"/>
      <c r="AD37" s="306"/>
      <c r="AE37" s="303" t="s">
        <v>438</v>
      </c>
      <c r="AF37" s="288">
        <v>108</v>
      </c>
      <c r="AG37" s="307"/>
      <c r="AI37" s="290">
        <f t="shared" si="0"/>
        <v>0.90909090909090917</v>
      </c>
      <c r="AJ37" s="290">
        <f t="shared" si="1"/>
        <v>0.65340909090909083</v>
      </c>
    </row>
    <row r="38" spans="2:36" s="199" customFormat="1" ht="30">
      <c r="B38" s="279">
        <v>8</v>
      </c>
      <c r="C38" s="281" t="s">
        <v>440</v>
      </c>
      <c r="D38" s="280" t="s">
        <v>427</v>
      </c>
      <c r="E38" s="281" t="s">
        <v>572</v>
      </c>
      <c r="F38" s="281">
        <v>53</v>
      </c>
      <c r="G38" s="281" t="s">
        <v>283</v>
      </c>
      <c r="H38" s="292" t="s">
        <v>283</v>
      </c>
      <c r="I38" s="292" t="s">
        <v>283</v>
      </c>
      <c r="J38" s="292" t="s">
        <v>283</v>
      </c>
      <c r="K38" s="292" t="s">
        <v>283</v>
      </c>
      <c r="L38" s="283">
        <v>1</v>
      </c>
      <c r="M38" s="299"/>
      <c r="N38" s="281">
        <v>1</v>
      </c>
      <c r="O38" s="226">
        <v>0.9</v>
      </c>
      <c r="P38" s="306" t="s">
        <v>283</v>
      </c>
      <c r="Q38" s="306" t="s">
        <v>283</v>
      </c>
      <c r="R38" s="281">
        <v>0.5</v>
      </c>
      <c r="S38" s="306"/>
      <c r="T38" s="306"/>
      <c r="U38" s="306"/>
      <c r="V38" s="306"/>
      <c r="W38" s="306"/>
      <c r="X38" s="306"/>
      <c r="Y38" s="306"/>
      <c r="Z38" s="306"/>
      <c r="AA38" s="306"/>
      <c r="AB38" s="306"/>
      <c r="AC38" s="306"/>
      <c r="AD38" s="306"/>
      <c r="AE38" s="303" t="s">
        <v>438</v>
      </c>
      <c r="AF38" s="288">
        <v>57</v>
      </c>
      <c r="AG38" s="307"/>
      <c r="AI38" s="290">
        <f t="shared" si="0"/>
        <v>0.28409090909090912</v>
      </c>
      <c r="AJ38" s="290">
        <f t="shared" si="1"/>
        <v>0.14204545454545456</v>
      </c>
    </row>
    <row r="39" spans="2:36" s="199" customFormat="1" ht="30">
      <c r="B39" s="279">
        <v>9</v>
      </c>
      <c r="C39" s="281" t="s">
        <v>440</v>
      </c>
      <c r="D39" s="280" t="s">
        <v>428</v>
      </c>
      <c r="E39" s="281" t="s">
        <v>573</v>
      </c>
      <c r="F39" s="281">
        <v>65</v>
      </c>
      <c r="G39" s="281" t="s">
        <v>283</v>
      </c>
      <c r="H39" s="292" t="s">
        <v>283</v>
      </c>
      <c r="I39" s="292" t="s">
        <v>283</v>
      </c>
      <c r="J39" s="292" t="s">
        <v>283</v>
      </c>
      <c r="K39" s="292" t="s">
        <v>283</v>
      </c>
      <c r="L39" s="291">
        <v>1</v>
      </c>
      <c r="M39" s="299"/>
      <c r="N39" s="281">
        <v>1.1000000000000001</v>
      </c>
      <c r="O39" s="226">
        <v>0.9</v>
      </c>
      <c r="P39" s="226" t="s">
        <v>283</v>
      </c>
      <c r="Q39" s="226" t="s">
        <v>283</v>
      </c>
      <c r="R39" s="281">
        <v>0.6</v>
      </c>
      <c r="S39" s="306"/>
      <c r="T39" s="306"/>
      <c r="U39" s="306"/>
      <c r="V39" s="306"/>
      <c r="W39" s="306"/>
      <c r="X39" s="306"/>
      <c r="Y39" s="306"/>
      <c r="Z39" s="306"/>
      <c r="AA39" s="306"/>
      <c r="AB39" s="306"/>
      <c r="AC39" s="306"/>
      <c r="AD39" s="306"/>
      <c r="AE39" s="303" t="s">
        <v>438</v>
      </c>
      <c r="AF39" s="288">
        <v>57</v>
      </c>
      <c r="AG39" s="307"/>
      <c r="AI39" s="290">
        <f t="shared" si="0"/>
        <v>0.3125</v>
      </c>
      <c r="AJ39" s="290">
        <f t="shared" si="1"/>
        <v>0.17045454545454544</v>
      </c>
    </row>
    <row r="40" spans="2:36" s="199" customFormat="1" ht="30">
      <c r="B40" s="279">
        <v>10</v>
      </c>
      <c r="C40" s="281" t="s">
        <v>440</v>
      </c>
      <c r="D40" s="280" t="s">
        <v>429</v>
      </c>
      <c r="E40" s="281" t="s">
        <v>574</v>
      </c>
      <c r="F40" s="281">
        <v>50</v>
      </c>
      <c r="G40" s="281" t="s">
        <v>283</v>
      </c>
      <c r="H40" s="292" t="s">
        <v>283</v>
      </c>
      <c r="I40" s="292" t="s">
        <v>283</v>
      </c>
      <c r="J40" s="292" t="s">
        <v>283</v>
      </c>
      <c r="K40" s="292" t="s">
        <v>283</v>
      </c>
      <c r="L40" s="283">
        <v>1</v>
      </c>
      <c r="M40" s="299"/>
      <c r="N40" s="281">
        <v>0.9</v>
      </c>
      <c r="O40" s="226">
        <v>0.7</v>
      </c>
      <c r="P40" s="296" t="s">
        <v>283</v>
      </c>
      <c r="Q40" s="296" t="s">
        <v>283</v>
      </c>
      <c r="R40" s="281">
        <v>0.5</v>
      </c>
      <c r="S40" s="306"/>
      <c r="T40" s="306"/>
      <c r="U40" s="306"/>
      <c r="V40" s="306"/>
      <c r="W40" s="306"/>
      <c r="X40" s="306"/>
      <c r="Y40" s="306"/>
      <c r="Z40" s="306"/>
      <c r="AA40" s="306"/>
      <c r="AB40" s="306"/>
      <c r="AC40" s="306"/>
      <c r="AD40" s="306"/>
      <c r="AE40" s="303" t="s">
        <v>438</v>
      </c>
      <c r="AF40" s="288">
        <v>57</v>
      </c>
      <c r="AG40" s="307"/>
      <c r="AI40" s="290">
        <f t="shared" si="0"/>
        <v>0.25568181818181818</v>
      </c>
      <c r="AJ40" s="290">
        <f t="shared" si="1"/>
        <v>0.14204545454545456</v>
      </c>
    </row>
    <row r="41" spans="2:36" s="199" customFormat="1" ht="30">
      <c r="B41" s="279">
        <v>11</v>
      </c>
      <c r="C41" s="281" t="s">
        <v>440</v>
      </c>
      <c r="D41" s="280" t="s">
        <v>430</v>
      </c>
      <c r="E41" s="281" t="s">
        <v>575</v>
      </c>
      <c r="F41" s="281">
        <v>50</v>
      </c>
      <c r="G41" s="281" t="s">
        <v>283</v>
      </c>
      <c r="H41" s="281" t="s">
        <v>283</v>
      </c>
      <c r="I41" s="281" t="s">
        <v>283</v>
      </c>
      <c r="J41" s="281" t="s">
        <v>283</v>
      </c>
      <c r="K41" s="281" t="s">
        <v>283</v>
      </c>
      <c r="L41" s="283">
        <v>1</v>
      </c>
      <c r="M41" s="299"/>
      <c r="N41" s="281">
        <v>0.9</v>
      </c>
      <c r="O41" s="226">
        <v>0.7</v>
      </c>
      <c r="P41" s="226" t="s">
        <v>283</v>
      </c>
      <c r="Q41" s="226" t="s">
        <v>283</v>
      </c>
      <c r="R41" s="281">
        <v>0.5</v>
      </c>
      <c r="S41" s="306"/>
      <c r="T41" s="306"/>
      <c r="U41" s="306"/>
      <c r="V41" s="306"/>
      <c r="W41" s="306"/>
      <c r="X41" s="306"/>
      <c r="Y41" s="306"/>
      <c r="Z41" s="306"/>
      <c r="AA41" s="306"/>
      <c r="AB41" s="306"/>
      <c r="AC41" s="306"/>
      <c r="AD41" s="306"/>
      <c r="AE41" s="287" t="s">
        <v>438</v>
      </c>
      <c r="AF41" s="288">
        <v>57</v>
      </c>
      <c r="AG41" s="307"/>
      <c r="AI41" s="290">
        <f t="shared" si="0"/>
        <v>0.25568181818181818</v>
      </c>
      <c r="AJ41" s="290">
        <f t="shared" si="1"/>
        <v>0.14204545454545456</v>
      </c>
    </row>
    <row r="42" spans="2:36" s="199" customFormat="1" ht="29.25" customHeight="1">
      <c r="B42" s="468" t="s">
        <v>386</v>
      </c>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70"/>
      <c r="AI42" s="308">
        <f>SUM(AI11:AI41)</f>
        <v>24</v>
      </c>
      <c r="AJ42" s="308">
        <f>SUM(AJ11:AJ41)</f>
        <v>24.914772727272723</v>
      </c>
    </row>
    <row r="43" spans="2:36" s="199" customFormat="1" ht="33.75" customHeight="1">
      <c r="B43" s="279">
        <v>1</v>
      </c>
      <c r="C43" s="281" t="s">
        <v>440</v>
      </c>
      <c r="D43" s="309" t="s">
        <v>576</v>
      </c>
      <c r="E43" s="229" t="s">
        <v>448</v>
      </c>
      <c r="F43" s="281">
        <v>264</v>
      </c>
      <c r="G43" s="281" t="s">
        <v>283</v>
      </c>
      <c r="H43" s="281" t="s">
        <v>283</v>
      </c>
      <c r="I43" s="281" t="s">
        <v>283</v>
      </c>
      <c r="J43" s="281" t="s">
        <v>283</v>
      </c>
      <c r="K43" s="281" t="s">
        <v>283</v>
      </c>
      <c r="L43" s="310" t="s">
        <v>577</v>
      </c>
      <c r="M43" s="299">
        <v>5.6</v>
      </c>
      <c r="N43" s="281">
        <v>3.6</v>
      </c>
      <c r="O43" s="226">
        <v>3.5</v>
      </c>
      <c r="P43" s="226"/>
      <c r="Q43" s="226"/>
      <c r="R43" s="281">
        <v>3</v>
      </c>
      <c r="S43" s="226"/>
      <c r="T43" s="226"/>
      <c r="U43" s="226" t="s">
        <v>283</v>
      </c>
      <c r="V43" s="226" t="s">
        <v>283</v>
      </c>
      <c r="W43" s="226" t="s">
        <v>283</v>
      </c>
      <c r="X43" s="226" t="s">
        <v>283</v>
      </c>
      <c r="Y43" s="226" t="s">
        <v>283</v>
      </c>
      <c r="Z43" s="226" t="s">
        <v>283</v>
      </c>
      <c r="AA43" s="226" t="s">
        <v>283</v>
      </c>
      <c r="AB43" s="226" t="s">
        <v>283</v>
      </c>
      <c r="AC43" s="226" t="s">
        <v>283</v>
      </c>
      <c r="AD43" s="226" t="s">
        <v>283</v>
      </c>
      <c r="AE43" s="287" t="s">
        <v>438</v>
      </c>
      <c r="AF43" s="288">
        <v>65</v>
      </c>
      <c r="AG43" s="289"/>
      <c r="AI43" s="290">
        <f>N43/3.52</f>
        <v>1.0227272727272727</v>
      </c>
      <c r="AJ43" s="290">
        <f>R43/3.52</f>
        <v>0.85227272727272729</v>
      </c>
    </row>
    <row r="44" spans="2:36" s="199" customFormat="1" ht="33.75" customHeight="1">
      <c r="B44" s="279">
        <v>2</v>
      </c>
      <c r="C44" s="281" t="s">
        <v>440</v>
      </c>
      <c r="D44" s="309" t="s">
        <v>578</v>
      </c>
      <c r="E44" s="229" t="s">
        <v>449</v>
      </c>
      <c r="F44" s="281">
        <v>192</v>
      </c>
      <c r="G44" s="281" t="s">
        <v>283</v>
      </c>
      <c r="H44" s="281" t="s">
        <v>283</v>
      </c>
      <c r="I44" s="281" t="s">
        <v>283</v>
      </c>
      <c r="J44" s="281" t="s">
        <v>283</v>
      </c>
      <c r="K44" s="281" t="s">
        <v>283</v>
      </c>
      <c r="L44" s="310" t="s">
        <v>577</v>
      </c>
      <c r="M44" s="299">
        <v>2.8</v>
      </c>
      <c r="N44" s="281">
        <v>2.8</v>
      </c>
      <c r="O44" s="226">
        <v>2.6</v>
      </c>
      <c r="P44" s="226"/>
      <c r="Q44" s="226"/>
      <c r="R44" s="281">
        <v>1.8</v>
      </c>
      <c r="S44" s="226"/>
      <c r="T44" s="226"/>
      <c r="U44" s="226" t="s">
        <v>283</v>
      </c>
      <c r="V44" s="226" t="s">
        <v>283</v>
      </c>
      <c r="W44" s="226" t="s">
        <v>283</v>
      </c>
      <c r="X44" s="226" t="s">
        <v>283</v>
      </c>
      <c r="Y44" s="226" t="s">
        <v>283</v>
      </c>
      <c r="Z44" s="226" t="s">
        <v>283</v>
      </c>
      <c r="AA44" s="226" t="s">
        <v>283</v>
      </c>
      <c r="AB44" s="226" t="s">
        <v>283</v>
      </c>
      <c r="AC44" s="226" t="s">
        <v>283</v>
      </c>
      <c r="AD44" s="226" t="s">
        <v>283</v>
      </c>
      <c r="AE44" s="287" t="s">
        <v>438</v>
      </c>
      <c r="AF44" s="288">
        <v>65</v>
      </c>
      <c r="AG44" s="289"/>
      <c r="AI44" s="290">
        <f>N44/3.52</f>
        <v>0.79545454545454541</v>
      </c>
      <c r="AJ44" s="290">
        <f>R44/3.52</f>
        <v>0.51136363636363635</v>
      </c>
    </row>
    <row r="45" spans="2:36" s="199" customFormat="1" ht="33.75" customHeight="1">
      <c r="B45" s="279">
        <v>3</v>
      </c>
      <c r="C45" s="281" t="s">
        <v>440</v>
      </c>
      <c r="D45" s="309" t="s">
        <v>579</v>
      </c>
      <c r="E45" s="229" t="s">
        <v>580</v>
      </c>
      <c r="F45" s="281">
        <v>165</v>
      </c>
      <c r="G45" s="281" t="s">
        <v>283</v>
      </c>
      <c r="H45" s="281" t="s">
        <v>283</v>
      </c>
      <c r="I45" s="281" t="s">
        <v>283</v>
      </c>
      <c r="J45" s="281" t="s">
        <v>283</v>
      </c>
      <c r="K45" s="281" t="s">
        <v>283</v>
      </c>
      <c r="L45" s="310" t="s">
        <v>577</v>
      </c>
      <c r="M45" s="299">
        <v>2.8</v>
      </c>
      <c r="N45" s="281">
        <v>2.5</v>
      </c>
      <c r="O45" s="226">
        <v>2.2000000000000002</v>
      </c>
      <c r="P45" s="226"/>
      <c r="Q45" s="226"/>
      <c r="R45" s="281">
        <v>1.3</v>
      </c>
      <c r="S45" s="226"/>
      <c r="T45" s="226"/>
      <c r="U45" s="226" t="s">
        <v>283</v>
      </c>
      <c r="V45" s="226" t="s">
        <v>283</v>
      </c>
      <c r="W45" s="226" t="s">
        <v>283</v>
      </c>
      <c r="X45" s="226" t="s">
        <v>283</v>
      </c>
      <c r="Y45" s="226" t="s">
        <v>283</v>
      </c>
      <c r="Z45" s="226" t="s">
        <v>283</v>
      </c>
      <c r="AA45" s="226" t="s">
        <v>283</v>
      </c>
      <c r="AB45" s="226" t="s">
        <v>283</v>
      </c>
      <c r="AC45" s="226" t="s">
        <v>283</v>
      </c>
      <c r="AD45" s="226" t="s">
        <v>283</v>
      </c>
      <c r="AE45" s="287" t="s">
        <v>438</v>
      </c>
      <c r="AF45" s="288">
        <v>65</v>
      </c>
      <c r="AG45" s="289"/>
      <c r="AI45" s="290">
        <f>N45/3.52</f>
        <v>0.71022727272727271</v>
      </c>
      <c r="AJ45" s="290">
        <f>R45/3.52</f>
        <v>0.36931818181818182</v>
      </c>
    </row>
    <row r="46" spans="2:36" s="199" customFormat="1" ht="33.75" customHeight="1">
      <c r="B46" s="279">
        <v>4</v>
      </c>
      <c r="C46" s="281" t="s">
        <v>440</v>
      </c>
      <c r="D46" s="309" t="s">
        <v>581</v>
      </c>
      <c r="E46" s="229" t="s">
        <v>582</v>
      </c>
      <c r="F46" s="283">
        <v>170</v>
      </c>
      <c r="G46" s="281" t="s">
        <v>283</v>
      </c>
      <c r="H46" s="283" t="s">
        <v>283</v>
      </c>
      <c r="I46" s="281" t="s">
        <v>283</v>
      </c>
      <c r="J46" s="281" t="s">
        <v>283</v>
      </c>
      <c r="K46" s="281" t="s">
        <v>283</v>
      </c>
      <c r="L46" s="310" t="s">
        <v>577</v>
      </c>
      <c r="M46" s="299">
        <v>2.8</v>
      </c>
      <c r="N46" s="281">
        <v>2.6</v>
      </c>
      <c r="O46" s="226">
        <v>2.2999999999999998</v>
      </c>
      <c r="P46" s="226"/>
      <c r="Q46" s="226"/>
      <c r="R46" s="281">
        <v>1.4</v>
      </c>
      <c r="S46" s="226"/>
      <c r="T46" s="226"/>
      <c r="U46" s="226" t="s">
        <v>283</v>
      </c>
      <c r="V46" s="226" t="s">
        <v>283</v>
      </c>
      <c r="W46" s="226" t="s">
        <v>283</v>
      </c>
      <c r="X46" s="226" t="s">
        <v>283</v>
      </c>
      <c r="Y46" s="226" t="s">
        <v>283</v>
      </c>
      <c r="Z46" s="226" t="s">
        <v>283</v>
      </c>
      <c r="AA46" s="226" t="s">
        <v>283</v>
      </c>
      <c r="AB46" s="226" t="s">
        <v>283</v>
      </c>
      <c r="AC46" s="226" t="s">
        <v>283</v>
      </c>
      <c r="AD46" s="226" t="s">
        <v>283</v>
      </c>
      <c r="AE46" s="287" t="s">
        <v>438</v>
      </c>
      <c r="AF46" s="288">
        <v>65</v>
      </c>
      <c r="AG46" s="289"/>
      <c r="AI46" s="290">
        <f>N46/3.52</f>
        <v>0.73863636363636365</v>
      </c>
      <c r="AJ46" s="290">
        <f>R46/3.52</f>
        <v>0.39772727272727271</v>
      </c>
    </row>
    <row r="47" spans="2:36" s="199" customFormat="1" ht="33.75" customHeight="1">
      <c r="B47" s="279">
        <v>5</v>
      </c>
      <c r="C47" s="281" t="s">
        <v>440</v>
      </c>
      <c r="D47" s="309" t="s">
        <v>583</v>
      </c>
      <c r="E47" s="229" t="s">
        <v>450</v>
      </c>
      <c r="F47" s="283">
        <v>258</v>
      </c>
      <c r="G47" s="281" t="s">
        <v>283</v>
      </c>
      <c r="H47" s="283" t="s">
        <v>283</v>
      </c>
      <c r="I47" s="281" t="s">
        <v>283</v>
      </c>
      <c r="J47" s="281" t="s">
        <v>283</v>
      </c>
      <c r="K47" s="281" t="s">
        <v>283</v>
      </c>
      <c r="L47" s="310" t="s">
        <v>577</v>
      </c>
      <c r="M47" s="299">
        <v>14</v>
      </c>
      <c r="N47" s="281">
        <v>3.9</v>
      </c>
      <c r="O47" s="226">
        <v>3.5</v>
      </c>
      <c r="P47" s="226"/>
      <c r="Q47" s="226"/>
      <c r="R47" s="299">
        <v>2.2000000000000002</v>
      </c>
      <c r="S47" s="226"/>
      <c r="T47" s="226"/>
      <c r="U47" s="226" t="s">
        <v>283</v>
      </c>
      <c r="V47" s="226" t="s">
        <v>283</v>
      </c>
      <c r="W47" s="226" t="s">
        <v>283</v>
      </c>
      <c r="X47" s="226" t="s">
        <v>283</v>
      </c>
      <c r="Y47" s="226" t="s">
        <v>283</v>
      </c>
      <c r="Z47" s="226" t="s">
        <v>283</v>
      </c>
      <c r="AA47" s="226" t="s">
        <v>283</v>
      </c>
      <c r="AB47" s="226" t="s">
        <v>283</v>
      </c>
      <c r="AC47" s="226" t="s">
        <v>283</v>
      </c>
      <c r="AD47" s="226" t="s">
        <v>283</v>
      </c>
      <c r="AE47" s="287" t="s">
        <v>438</v>
      </c>
      <c r="AF47" s="288">
        <v>75</v>
      </c>
      <c r="AG47" s="289"/>
      <c r="AI47" s="290">
        <f>N47/3.52</f>
        <v>1.1079545454545454</v>
      </c>
      <c r="AJ47" s="290">
        <f t="shared" ref="AJ47:AJ52" si="2">R47/3.52</f>
        <v>0.625</v>
      </c>
    </row>
    <row r="48" spans="2:36" s="199" customFormat="1" ht="33.75" customHeight="1">
      <c r="B48" s="279">
        <v>6</v>
      </c>
      <c r="C48" s="281" t="s">
        <v>440</v>
      </c>
      <c r="D48" s="309" t="s">
        <v>584</v>
      </c>
      <c r="E48" s="229" t="s">
        <v>585</v>
      </c>
      <c r="F48" s="283">
        <f>303/2</f>
        <v>151.5</v>
      </c>
      <c r="G48" s="281" t="s">
        <v>283</v>
      </c>
      <c r="H48" s="283" t="s">
        <v>283</v>
      </c>
      <c r="I48" s="281" t="s">
        <v>283</v>
      </c>
      <c r="J48" s="281" t="s">
        <v>283</v>
      </c>
      <c r="K48" s="281" t="s">
        <v>283</v>
      </c>
      <c r="L48" s="310" t="s">
        <v>586</v>
      </c>
      <c r="M48" s="284">
        <v>2.8</v>
      </c>
      <c r="N48" s="281">
        <f>4.6/2</f>
        <v>2.2999999999999998</v>
      </c>
      <c r="O48" s="226">
        <f>4.1/2</f>
        <v>2.0499999999999998</v>
      </c>
      <c r="P48" s="226"/>
      <c r="Q48" s="226"/>
      <c r="R48" s="299">
        <f>2.8/2</f>
        <v>1.4</v>
      </c>
      <c r="S48" s="226"/>
      <c r="T48" s="226"/>
      <c r="U48" s="226" t="s">
        <v>283</v>
      </c>
      <c r="V48" s="226" t="s">
        <v>283</v>
      </c>
      <c r="W48" s="226" t="s">
        <v>283</v>
      </c>
      <c r="X48" s="226" t="s">
        <v>283</v>
      </c>
      <c r="Y48" s="226" t="s">
        <v>283</v>
      </c>
      <c r="Z48" s="226" t="s">
        <v>283</v>
      </c>
      <c r="AA48" s="226" t="s">
        <v>283</v>
      </c>
      <c r="AB48" s="226" t="s">
        <v>283</v>
      </c>
      <c r="AC48" s="226" t="s">
        <v>283</v>
      </c>
      <c r="AD48" s="226" t="s">
        <v>283</v>
      </c>
      <c r="AE48" s="287" t="s">
        <v>438</v>
      </c>
      <c r="AF48" s="288">
        <v>65</v>
      </c>
      <c r="AG48" s="289"/>
      <c r="AI48" s="290">
        <f>(N48/3.52)*L48</f>
        <v>1.3068181818181817</v>
      </c>
      <c r="AJ48" s="290">
        <f>(R48/3.52)*L48</f>
        <v>0.79545454545454541</v>
      </c>
    </row>
    <row r="49" spans="2:36" s="199" customFormat="1" ht="33.75" customHeight="1">
      <c r="B49" s="279">
        <v>10</v>
      </c>
      <c r="C49" s="281" t="s">
        <v>440</v>
      </c>
      <c r="D49" s="309" t="s">
        <v>451</v>
      </c>
      <c r="E49" s="229" t="s">
        <v>587</v>
      </c>
      <c r="F49" s="279">
        <f>454/2</f>
        <v>227</v>
      </c>
      <c r="G49" s="281" t="s">
        <v>283</v>
      </c>
      <c r="H49" s="311"/>
      <c r="I49" s="311"/>
      <c r="J49" s="311"/>
      <c r="K49" s="311"/>
      <c r="L49" s="310" t="s">
        <v>586</v>
      </c>
      <c r="M49" s="299">
        <v>7.1</v>
      </c>
      <c r="N49" s="281">
        <f>6.8/2</f>
        <v>3.4</v>
      </c>
      <c r="O49" s="226">
        <f>6.2/2</f>
        <v>3.1</v>
      </c>
      <c r="P49" s="226"/>
      <c r="Q49" s="226"/>
      <c r="R49" s="281">
        <f>3.4/2</f>
        <v>1.7</v>
      </c>
      <c r="S49" s="312"/>
      <c r="T49" s="312"/>
      <c r="U49" s="226" t="s">
        <v>283</v>
      </c>
      <c r="V49" s="226" t="s">
        <v>283</v>
      </c>
      <c r="W49" s="226" t="s">
        <v>283</v>
      </c>
      <c r="X49" s="226" t="s">
        <v>283</v>
      </c>
      <c r="Y49" s="226" t="s">
        <v>283</v>
      </c>
      <c r="Z49" s="226" t="s">
        <v>283</v>
      </c>
      <c r="AA49" s="226" t="s">
        <v>283</v>
      </c>
      <c r="AB49" s="226" t="s">
        <v>283</v>
      </c>
      <c r="AC49" s="226" t="s">
        <v>283</v>
      </c>
      <c r="AD49" s="226" t="s">
        <v>283</v>
      </c>
      <c r="AE49" s="287" t="s">
        <v>438</v>
      </c>
      <c r="AF49" s="288">
        <v>65</v>
      </c>
      <c r="AG49" s="313"/>
      <c r="AI49" s="290">
        <f>(N49/3.52)*L49</f>
        <v>1.9318181818181817</v>
      </c>
      <c r="AJ49" s="290">
        <f>(R49/3.52)*L49</f>
        <v>0.96590909090909083</v>
      </c>
    </row>
    <row r="50" spans="2:36" s="199" customFormat="1" ht="34.5" customHeight="1">
      <c r="B50" s="279">
        <v>13</v>
      </c>
      <c r="C50" s="281" t="s">
        <v>440</v>
      </c>
      <c r="D50" s="309" t="s">
        <v>588</v>
      </c>
      <c r="E50" s="229" t="s">
        <v>452</v>
      </c>
      <c r="F50" s="281">
        <v>221</v>
      </c>
      <c r="G50" s="281" t="s">
        <v>283</v>
      </c>
      <c r="H50" s="281"/>
      <c r="I50" s="281"/>
      <c r="J50" s="281"/>
      <c r="K50" s="281"/>
      <c r="L50" s="310" t="s">
        <v>577</v>
      </c>
      <c r="M50" s="299">
        <v>3.6</v>
      </c>
      <c r="N50" s="281">
        <v>3.9</v>
      </c>
      <c r="O50" s="226">
        <v>3.1</v>
      </c>
      <c r="P50" s="226"/>
      <c r="Q50" s="226"/>
      <c r="R50" s="281">
        <v>2.2999999999999998</v>
      </c>
      <c r="S50" s="226"/>
      <c r="T50" s="226"/>
      <c r="U50" s="226"/>
      <c r="V50" s="226"/>
      <c r="W50" s="226"/>
      <c r="X50" s="226"/>
      <c r="Y50" s="226"/>
      <c r="Z50" s="226"/>
      <c r="AA50" s="226"/>
      <c r="AB50" s="226"/>
      <c r="AC50" s="226"/>
      <c r="AD50" s="226"/>
      <c r="AE50" s="287" t="s">
        <v>438</v>
      </c>
      <c r="AF50" s="288">
        <v>75</v>
      </c>
      <c r="AG50" s="289"/>
      <c r="AI50" s="314">
        <f t="shared" ref="AI50:AI52" si="3">N50/3.52</f>
        <v>1.1079545454545454</v>
      </c>
      <c r="AJ50" s="290">
        <f t="shared" si="2"/>
        <v>0.65340909090909083</v>
      </c>
    </row>
    <row r="51" spans="2:36" s="199" customFormat="1" ht="34.5" customHeight="1">
      <c r="B51" s="279">
        <v>14</v>
      </c>
      <c r="C51" s="281" t="s">
        <v>440</v>
      </c>
      <c r="D51" s="309" t="s">
        <v>589</v>
      </c>
      <c r="E51" s="229" t="s">
        <v>258</v>
      </c>
      <c r="F51" s="281">
        <v>333</v>
      </c>
      <c r="G51" s="281" t="s">
        <v>283</v>
      </c>
      <c r="H51" s="281"/>
      <c r="I51" s="281"/>
      <c r="J51" s="281"/>
      <c r="K51" s="281"/>
      <c r="L51" s="310" t="s">
        <v>577</v>
      </c>
      <c r="M51" s="299">
        <v>3.6</v>
      </c>
      <c r="N51" s="281">
        <v>4.7</v>
      </c>
      <c r="O51" s="226">
        <v>4.4000000000000004</v>
      </c>
      <c r="P51" s="226"/>
      <c r="Q51" s="226"/>
      <c r="R51" s="281">
        <v>6</v>
      </c>
      <c r="S51" s="226"/>
      <c r="T51" s="226"/>
      <c r="U51" s="226"/>
      <c r="V51" s="226"/>
      <c r="W51" s="226"/>
      <c r="X51" s="226"/>
      <c r="Y51" s="226"/>
      <c r="Z51" s="226"/>
      <c r="AA51" s="226"/>
      <c r="AB51" s="226"/>
      <c r="AC51" s="226"/>
      <c r="AD51" s="226"/>
      <c r="AE51" s="287" t="s">
        <v>438</v>
      </c>
      <c r="AF51" s="288">
        <v>65</v>
      </c>
      <c r="AG51" s="289"/>
      <c r="AI51" s="314">
        <f t="shared" si="3"/>
        <v>1.3352272727272727</v>
      </c>
      <c r="AJ51" s="290">
        <f t="shared" si="2"/>
        <v>1.7045454545454546</v>
      </c>
    </row>
    <row r="52" spans="2:36" s="199" customFormat="1" ht="34.5" customHeight="1">
      <c r="B52" s="279">
        <v>15</v>
      </c>
      <c r="C52" s="281" t="s">
        <v>440</v>
      </c>
      <c r="D52" s="309" t="s">
        <v>590</v>
      </c>
      <c r="E52" s="229" t="s">
        <v>591</v>
      </c>
      <c r="F52" s="281">
        <v>91</v>
      </c>
      <c r="G52" s="281" t="s">
        <v>283</v>
      </c>
      <c r="H52" s="281"/>
      <c r="I52" s="281"/>
      <c r="J52" s="281"/>
      <c r="K52" s="281"/>
      <c r="L52" s="310" t="s">
        <v>577</v>
      </c>
      <c r="M52" s="299">
        <v>2.2000000000000002</v>
      </c>
      <c r="N52" s="281">
        <v>1.5</v>
      </c>
      <c r="O52" s="226">
        <v>1.2</v>
      </c>
      <c r="P52" s="226"/>
      <c r="Q52" s="226"/>
      <c r="R52" s="281">
        <v>1.4</v>
      </c>
      <c r="S52" s="226"/>
      <c r="T52" s="226"/>
      <c r="U52" s="226"/>
      <c r="V52" s="226"/>
      <c r="W52" s="226"/>
      <c r="X52" s="226"/>
      <c r="Y52" s="226"/>
      <c r="Z52" s="226"/>
      <c r="AA52" s="226"/>
      <c r="AB52" s="226"/>
      <c r="AC52" s="226"/>
      <c r="AD52" s="226"/>
      <c r="AE52" s="287" t="s">
        <v>438</v>
      </c>
      <c r="AF52" s="288">
        <v>65</v>
      </c>
      <c r="AG52" s="289"/>
      <c r="AI52" s="290">
        <f t="shared" si="3"/>
        <v>0.42613636363636365</v>
      </c>
      <c r="AJ52" s="290">
        <f t="shared" si="2"/>
        <v>0.39772727272727271</v>
      </c>
    </row>
    <row r="53" spans="2:36" ht="29.25" customHeight="1" thickBot="1">
      <c r="X53" s="199"/>
      <c r="Y53" s="199"/>
      <c r="Z53" s="199"/>
      <c r="AA53" s="199"/>
      <c r="AB53" s="199"/>
      <c r="AC53" s="199"/>
      <c r="AD53" s="199"/>
      <c r="AE53" s="201"/>
      <c r="AF53" s="202"/>
      <c r="AG53" s="200"/>
      <c r="AI53" s="235">
        <f>SUM(AI43:AI52)</f>
        <v>10.482954545454545</v>
      </c>
      <c r="AJ53" s="235">
        <f>SUM(AJ43:AJ52)</f>
        <v>7.2727272727272725</v>
      </c>
    </row>
    <row r="54" spans="2:36" ht="29.25" customHeight="1">
      <c r="D54" s="315" t="s">
        <v>393</v>
      </c>
      <c r="X54" s="199"/>
      <c r="Y54" s="199"/>
      <c r="Z54" s="199"/>
      <c r="AA54" s="199"/>
      <c r="AB54" s="199"/>
      <c r="AC54" s="199"/>
      <c r="AD54" s="199"/>
      <c r="AE54" s="201"/>
      <c r="AF54" s="202"/>
      <c r="AG54" s="316" t="s">
        <v>4</v>
      </c>
      <c r="AH54" s="317" t="s">
        <v>453</v>
      </c>
      <c r="AI54" s="318" t="s">
        <v>454</v>
      </c>
      <c r="AJ54" s="319"/>
    </row>
    <row r="55" spans="2:36" ht="30">
      <c r="D55" s="315" t="s">
        <v>394</v>
      </c>
      <c r="X55" s="199"/>
      <c r="Y55" s="199"/>
      <c r="Z55" s="199"/>
      <c r="AA55" s="199"/>
      <c r="AB55" s="199"/>
      <c r="AC55" s="199"/>
      <c r="AD55" s="199"/>
      <c r="AE55" s="201"/>
      <c r="AF55" s="202"/>
      <c r="AG55" s="320" t="s">
        <v>592</v>
      </c>
      <c r="AH55" s="321">
        <f>AJ42</f>
        <v>24.914772727272723</v>
      </c>
      <c r="AI55" s="322">
        <f>AI53</f>
        <v>10.482954545454545</v>
      </c>
      <c r="AJ55" s="323"/>
    </row>
    <row r="56" spans="2:36" ht="45">
      <c r="D56" s="315" t="s">
        <v>455</v>
      </c>
      <c r="X56" s="199"/>
      <c r="Y56" s="199"/>
      <c r="Z56" s="199"/>
      <c r="AA56" s="199"/>
      <c r="AB56" s="199"/>
      <c r="AC56" s="199"/>
      <c r="AD56" s="199"/>
      <c r="AE56" s="201"/>
      <c r="AF56" s="202"/>
      <c r="AG56" s="324" t="s">
        <v>593</v>
      </c>
      <c r="AH56" s="321">
        <f>AH55*0.9</f>
        <v>22.42329545454545</v>
      </c>
      <c r="AI56" s="325">
        <f>AI55*0.9</f>
        <v>9.4346590909090899</v>
      </c>
      <c r="AJ56" s="323"/>
    </row>
    <row r="57" spans="2:36" ht="45">
      <c r="D57" s="315" t="s">
        <v>456</v>
      </c>
      <c r="X57" s="199"/>
      <c r="Y57" s="199"/>
      <c r="Z57" s="199"/>
      <c r="AA57" s="199"/>
      <c r="AB57" s="199"/>
      <c r="AC57" s="199"/>
      <c r="AD57" s="199"/>
      <c r="AE57" s="201"/>
      <c r="AF57" s="202"/>
      <c r="AG57" s="320" t="s">
        <v>457</v>
      </c>
      <c r="AH57" s="284">
        <f>AH56/0.8</f>
        <v>28.029119318181809</v>
      </c>
      <c r="AI57" s="326">
        <f>AI56/0.8</f>
        <v>11.793323863636362</v>
      </c>
      <c r="AJ57" s="323"/>
    </row>
    <row r="58" spans="2:36" ht="29.25" customHeight="1" thickBot="1">
      <c r="X58" s="199"/>
      <c r="Y58" s="199"/>
      <c r="Z58" s="199"/>
      <c r="AA58" s="199"/>
      <c r="AB58" s="199"/>
      <c r="AC58" s="199"/>
      <c r="AD58" s="199"/>
      <c r="AE58" s="201"/>
      <c r="AF58" s="202"/>
      <c r="AG58" s="327" t="s">
        <v>458</v>
      </c>
      <c r="AH58" s="328">
        <v>17.2</v>
      </c>
      <c r="AI58" s="329">
        <v>11</v>
      </c>
      <c r="AJ58" s="330"/>
    </row>
    <row r="59" spans="2:36" ht="29.25" customHeight="1">
      <c r="X59" s="199"/>
      <c r="Y59" s="199"/>
      <c r="Z59" s="199"/>
      <c r="AA59" s="199"/>
      <c r="AB59" s="199"/>
      <c r="AC59" s="199"/>
      <c r="AD59" s="199"/>
      <c r="AE59" s="201"/>
      <c r="AF59" s="202"/>
      <c r="AG59" s="200"/>
      <c r="AI59" s="203" t="s">
        <v>459</v>
      </c>
    </row>
    <row r="60" spans="2:36" ht="29.25" customHeight="1">
      <c r="X60" s="199"/>
      <c r="Y60" s="199"/>
      <c r="Z60" s="199"/>
      <c r="AA60" s="199"/>
      <c r="AB60" s="199"/>
      <c r="AC60" s="199"/>
      <c r="AD60" s="199"/>
      <c r="AE60" s="201"/>
      <c r="AF60" s="202"/>
      <c r="AG60" s="200"/>
      <c r="AI60" s="425" t="s">
        <v>460</v>
      </c>
      <c r="AJ60" s="425"/>
    </row>
    <row r="61" spans="2:36" ht="29.25" customHeight="1">
      <c r="X61" s="199"/>
      <c r="Y61" s="199"/>
      <c r="Z61" s="199"/>
      <c r="AA61" s="199"/>
      <c r="AB61" s="199"/>
      <c r="AC61" s="199"/>
      <c r="AD61" s="199"/>
      <c r="AE61" s="201"/>
      <c r="AF61" s="202"/>
      <c r="AG61" s="200"/>
    </row>
    <row r="62" spans="2:36" ht="29.25" customHeight="1">
      <c r="X62" s="199"/>
      <c r="Y62" s="199"/>
      <c r="Z62" s="199"/>
      <c r="AA62" s="199"/>
      <c r="AB62" s="199"/>
      <c r="AC62" s="199"/>
      <c r="AD62" s="199"/>
      <c r="AE62" s="201"/>
      <c r="AF62" s="202"/>
      <c r="AG62" s="200"/>
      <c r="AI62" s="203">
        <f>AI56*3.52</f>
        <v>33.209999999999994</v>
      </c>
    </row>
    <row r="63" spans="2:36" ht="29.25" customHeight="1">
      <c r="X63" s="199"/>
      <c r="Y63" s="199"/>
      <c r="Z63" s="199"/>
      <c r="AA63" s="199"/>
      <c r="AB63" s="199"/>
      <c r="AC63" s="199"/>
      <c r="AD63" s="199"/>
      <c r="AE63" s="201"/>
      <c r="AF63" s="202"/>
      <c r="AG63" s="200"/>
    </row>
    <row r="64" spans="2:36" ht="29.25" customHeight="1">
      <c r="X64" s="199"/>
      <c r="Y64" s="199"/>
      <c r="Z64" s="199"/>
      <c r="AA64" s="199"/>
      <c r="AB64" s="199"/>
      <c r="AC64" s="199"/>
      <c r="AD64" s="199"/>
      <c r="AE64" s="201"/>
      <c r="AF64" s="202"/>
      <c r="AG64" s="200"/>
    </row>
    <row r="65" spans="24:33" ht="29.25" customHeight="1">
      <c r="X65" s="199"/>
      <c r="Y65" s="199"/>
      <c r="Z65" s="199"/>
      <c r="AA65" s="199"/>
      <c r="AB65" s="199"/>
      <c r="AC65" s="199"/>
      <c r="AD65" s="199"/>
      <c r="AE65" s="201"/>
      <c r="AF65" s="202"/>
      <c r="AG65" s="200"/>
    </row>
    <row r="66" spans="24:33" ht="29.25" customHeight="1">
      <c r="X66" s="199"/>
      <c r="Y66" s="199"/>
      <c r="Z66" s="199"/>
      <c r="AA66" s="199"/>
      <c r="AB66" s="199"/>
      <c r="AC66" s="199"/>
      <c r="AD66" s="199"/>
      <c r="AE66" s="201"/>
      <c r="AF66" s="202"/>
      <c r="AG66" s="200"/>
    </row>
    <row r="67" spans="24:33" ht="29.25" customHeight="1">
      <c r="X67" s="199"/>
      <c r="Y67" s="199"/>
      <c r="Z67" s="199"/>
      <c r="AA67" s="199"/>
      <c r="AB67" s="199"/>
      <c r="AC67" s="199"/>
      <c r="AD67" s="199"/>
      <c r="AE67" s="201"/>
      <c r="AF67" s="202"/>
      <c r="AG67" s="200"/>
    </row>
    <row r="68" spans="24:33" ht="29.25" customHeight="1">
      <c r="X68" s="199"/>
      <c r="Y68" s="199"/>
      <c r="Z68" s="199"/>
      <c r="AA68" s="199"/>
      <c r="AB68" s="199"/>
      <c r="AC68" s="199"/>
      <c r="AD68" s="199"/>
      <c r="AE68" s="201"/>
      <c r="AF68" s="202"/>
      <c r="AG68" s="200"/>
    </row>
    <row r="69" spans="24:33" ht="29.25" customHeight="1">
      <c r="X69" s="199"/>
      <c r="Y69" s="199"/>
      <c r="Z69" s="199"/>
      <c r="AA69" s="199"/>
      <c r="AB69" s="199"/>
      <c r="AC69" s="199"/>
      <c r="AD69" s="199"/>
      <c r="AE69" s="201"/>
      <c r="AF69" s="202"/>
      <c r="AG69" s="200"/>
    </row>
    <row r="70" spans="24:33" ht="29.25" customHeight="1">
      <c r="X70" s="199"/>
      <c r="Y70" s="199"/>
      <c r="Z70" s="199"/>
      <c r="AA70" s="199"/>
      <c r="AB70" s="199"/>
      <c r="AC70" s="199"/>
      <c r="AD70" s="199"/>
      <c r="AE70" s="201"/>
      <c r="AF70" s="202"/>
      <c r="AG70" s="200"/>
    </row>
    <row r="71" spans="24:33" ht="29.25" customHeight="1">
      <c r="X71" s="199"/>
      <c r="Y71" s="199"/>
      <c r="Z71" s="199"/>
      <c r="AA71" s="199"/>
      <c r="AB71" s="199"/>
      <c r="AC71" s="199"/>
      <c r="AD71" s="199"/>
      <c r="AE71" s="201"/>
      <c r="AF71" s="202"/>
      <c r="AG71" s="200"/>
    </row>
    <row r="72" spans="24:33" ht="29.25" customHeight="1">
      <c r="X72" s="199"/>
      <c r="Y72" s="199"/>
      <c r="Z72" s="199"/>
      <c r="AA72" s="199"/>
      <c r="AB72" s="199"/>
      <c r="AC72" s="199"/>
      <c r="AD72" s="199"/>
      <c r="AE72" s="201"/>
      <c r="AF72" s="202"/>
      <c r="AG72" s="200"/>
    </row>
    <row r="73" spans="24:33" ht="29.25" customHeight="1">
      <c r="X73" s="199"/>
      <c r="Y73" s="199"/>
      <c r="Z73" s="199"/>
      <c r="AA73" s="199"/>
      <c r="AB73" s="199"/>
      <c r="AC73" s="199"/>
      <c r="AD73" s="199"/>
      <c r="AE73" s="201"/>
      <c r="AF73" s="202"/>
      <c r="AG73" s="200"/>
    </row>
  </sheetData>
  <autoFilter ref="C1:C52" xr:uid="{00000000-0009-0000-0000-000007000000}"/>
  <mergeCells count="107">
    <mergeCell ref="M6:M8"/>
    <mergeCell ref="N6:W6"/>
    <mergeCell ref="X6:X8"/>
    <mergeCell ref="Y6:Y8"/>
    <mergeCell ref="Z6:Z8"/>
    <mergeCell ref="AD6:AD8"/>
    <mergeCell ref="B5:AG5"/>
    <mergeCell ref="B6:B9"/>
    <mergeCell ref="C6:C9"/>
    <mergeCell ref="D6:D9"/>
    <mergeCell ref="E6:E9"/>
    <mergeCell ref="F6:G7"/>
    <mergeCell ref="H6:I7"/>
    <mergeCell ref="J6:J8"/>
    <mergeCell ref="K6:K8"/>
    <mergeCell ref="L6:L8"/>
    <mergeCell ref="AE6:AF8"/>
    <mergeCell ref="N7:Q7"/>
    <mergeCell ref="R7:T7"/>
    <mergeCell ref="U7:W7"/>
    <mergeCell ref="T11:T28"/>
    <mergeCell ref="I11:I28"/>
    <mergeCell ref="J11:J28"/>
    <mergeCell ref="K11:K28"/>
    <mergeCell ref="B10:AG10"/>
    <mergeCell ref="C11:C28"/>
    <mergeCell ref="E11:E28"/>
    <mergeCell ref="F11:F28"/>
    <mergeCell ref="G11:G28"/>
    <mergeCell ref="H11:H28"/>
    <mergeCell ref="AG11:AG28"/>
    <mergeCell ref="AI31:AI32"/>
    <mergeCell ref="AJ31:AJ32"/>
    <mergeCell ref="V31:V32"/>
    <mergeCell ref="W31:W32"/>
    <mergeCell ref="AE31:AE32"/>
    <mergeCell ref="AF31:AF32"/>
    <mergeCell ref="AG31:AG32"/>
    <mergeCell ref="C31:C32"/>
    <mergeCell ref="E31:E32"/>
    <mergeCell ref="F31:F32"/>
    <mergeCell ref="G31:G32"/>
    <mergeCell ref="H31:H32"/>
    <mergeCell ref="AI11:AI28"/>
    <mergeCell ref="AJ11:AJ28"/>
    <mergeCell ref="AK11:AK16"/>
    <mergeCell ref="D29:D30"/>
    <mergeCell ref="AE11:AE28"/>
    <mergeCell ref="AF11:AF28"/>
    <mergeCell ref="L11:L28"/>
    <mergeCell ref="M11:M28"/>
    <mergeCell ref="N11:N28"/>
    <mergeCell ref="AA11:AA28"/>
    <mergeCell ref="AB11:AB28"/>
    <mergeCell ref="AC11:AC28"/>
    <mergeCell ref="AD11:AD28"/>
    <mergeCell ref="U11:U28"/>
    <mergeCell ref="V11:V28"/>
    <mergeCell ref="W11:W28"/>
    <mergeCell ref="X11:X28"/>
    <mergeCell ref="Y11:Y28"/>
    <mergeCell ref="Z11:Z28"/>
    <mergeCell ref="O11:O28"/>
    <mergeCell ref="P11:P28"/>
    <mergeCell ref="Q11:Q28"/>
    <mergeCell ref="R11:R28"/>
    <mergeCell ref="S11:S28"/>
    <mergeCell ref="I33:I34"/>
    <mergeCell ref="J33:J34"/>
    <mergeCell ref="K33:K34"/>
    <mergeCell ref="U31:U32"/>
    <mergeCell ref="O31:O32"/>
    <mergeCell ref="P31:P32"/>
    <mergeCell ref="Q31:Q32"/>
    <mergeCell ref="R31:R32"/>
    <mergeCell ref="S31:S32"/>
    <mergeCell ref="T31:T32"/>
    <mergeCell ref="I31:I32"/>
    <mergeCell ref="J31:J32"/>
    <mergeCell ref="K31:K32"/>
    <mergeCell ref="L31:L32"/>
    <mergeCell ref="M31:M32"/>
    <mergeCell ref="N31:N32"/>
    <mergeCell ref="AI60:AJ60"/>
    <mergeCell ref="AE33:AE34"/>
    <mergeCell ref="AF33:AF34"/>
    <mergeCell ref="AG33:AG34"/>
    <mergeCell ref="AI33:AI34"/>
    <mergeCell ref="AJ33:AJ34"/>
    <mergeCell ref="B42:AG42"/>
    <mergeCell ref="R33:R34"/>
    <mergeCell ref="S33:S34"/>
    <mergeCell ref="T33:T34"/>
    <mergeCell ref="U33:U34"/>
    <mergeCell ref="V33:V34"/>
    <mergeCell ref="W33:W34"/>
    <mergeCell ref="L33:L34"/>
    <mergeCell ref="M33:M34"/>
    <mergeCell ref="N33:N34"/>
    <mergeCell ref="O33:O34"/>
    <mergeCell ref="P33:P34"/>
    <mergeCell ref="Q33:Q34"/>
    <mergeCell ref="C33:C34"/>
    <mergeCell ref="E33:E34"/>
    <mergeCell ref="F33:F34"/>
    <mergeCell ref="G33:G34"/>
    <mergeCell ref="H33:H34"/>
  </mergeCells>
  <printOptions verticalCentered="1"/>
  <pageMargins left="0.70866141732283505" right="0.70866141732283505" top="0.74803149606299202" bottom="0.74803149606299202" header="0.31496062992126" footer="0.31496062992126"/>
  <pageSetup paperSize="8" scale="55" orientation="landscape"/>
  <headerFooter>
    <oddHeader>&amp;R&amp;12Rev 04_ 13.06.2019</oddHeader>
    <oddFooter>&amp;LModular concepts india Pvt. Ltd&amp;C&amp;P/&amp;N&amp;RAHU SCHEDULE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C6"/>
  <sheetViews>
    <sheetView workbookViewId="0">
      <selection activeCell="D34" sqref="D34"/>
    </sheetView>
  </sheetViews>
  <sheetFormatPr defaultColWidth="10.28515625" defaultRowHeight="15"/>
  <cols>
    <col min="1" max="1" width="18.42578125" style="188" customWidth="1"/>
    <col min="2" max="2" width="21.140625" style="353" customWidth="1"/>
    <col min="3" max="3" width="10.140625" style="188" customWidth="1"/>
    <col min="4" max="4" width="32.28515625" style="188" customWidth="1"/>
    <col min="5" max="5" width="13" style="188" customWidth="1"/>
    <col min="6" max="6" width="20.5703125" style="188" customWidth="1"/>
    <col min="7" max="7" width="16.85546875" style="188" customWidth="1"/>
    <col min="8" max="8" width="12.140625" style="188" customWidth="1"/>
    <col min="9" max="9" width="14.140625" style="188" hidden="1" customWidth="1"/>
    <col min="10" max="10" width="23.28515625" style="188" hidden="1" customWidth="1"/>
    <col min="11" max="16383" width="10.28515625" style="188"/>
    <col min="16384" max="16384" width="10.28515625" style="196"/>
  </cols>
  <sheetData>
    <row r="1" spans="1:10" s="188" customFormat="1" ht="18.75">
      <c r="A1" s="559" t="s">
        <v>613</v>
      </c>
      <c r="B1" s="559"/>
      <c r="C1" s="559"/>
      <c r="D1" s="559"/>
      <c r="E1" s="559"/>
      <c r="F1" s="559"/>
      <c r="G1" s="559"/>
      <c r="H1" s="559"/>
    </row>
    <row r="2" spans="1:10" s="188" customFormat="1" ht="67.5" customHeight="1">
      <c r="A2" s="339" t="s">
        <v>489</v>
      </c>
      <c r="B2" s="340" t="s">
        <v>135</v>
      </c>
      <c r="C2" s="339" t="s">
        <v>5</v>
      </c>
      <c r="D2" s="339" t="s">
        <v>130</v>
      </c>
      <c r="E2" s="341" t="s">
        <v>490</v>
      </c>
      <c r="F2" s="342" t="s">
        <v>491</v>
      </c>
      <c r="G2" s="343" t="s">
        <v>493</v>
      </c>
      <c r="H2" s="189" t="s">
        <v>494</v>
      </c>
      <c r="I2" s="190" t="s">
        <v>495</v>
      </c>
      <c r="J2" s="190" t="s">
        <v>496</v>
      </c>
    </row>
    <row r="3" spans="1:10" ht="24">
      <c r="A3" s="560" t="s">
        <v>415</v>
      </c>
      <c r="B3" s="344" t="s">
        <v>614</v>
      </c>
      <c r="C3" s="345">
        <v>1</v>
      </c>
      <c r="D3" s="346" t="s">
        <v>615</v>
      </c>
      <c r="E3" s="347">
        <v>80</v>
      </c>
      <c r="F3" s="348">
        <v>100</v>
      </c>
      <c r="G3" s="349" t="s">
        <v>616</v>
      </c>
      <c r="H3" s="191">
        <v>230</v>
      </c>
      <c r="I3" s="350" t="s">
        <v>501</v>
      </c>
      <c r="J3" s="191" t="s">
        <v>502</v>
      </c>
    </row>
    <row r="4" spans="1:10">
      <c r="A4" s="561"/>
      <c r="B4" s="344" t="s">
        <v>617</v>
      </c>
      <c r="C4" s="351">
        <v>1</v>
      </c>
      <c r="D4" s="352" t="s">
        <v>618</v>
      </c>
      <c r="E4" s="347">
        <v>175</v>
      </c>
      <c r="F4" s="348">
        <v>100</v>
      </c>
      <c r="G4" s="349" t="s">
        <v>616</v>
      </c>
      <c r="H4" s="349">
        <v>270</v>
      </c>
      <c r="I4" s="562" t="s">
        <v>501</v>
      </c>
      <c r="J4" s="562" t="s">
        <v>505</v>
      </c>
    </row>
    <row r="5" spans="1:10">
      <c r="A5" s="561"/>
      <c r="B5" s="344" t="s">
        <v>619</v>
      </c>
      <c r="C5" s="345">
        <v>1</v>
      </c>
      <c r="D5" s="352" t="s">
        <v>618</v>
      </c>
      <c r="E5" s="347">
        <v>155</v>
      </c>
      <c r="F5" s="348">
        <v>100</v>
      </c>
      <c r="G5" s="349" t="s">
        <v>616</v>
      </c>
      <c r="H5" s="349">
        <v>230</v>
      </c>
      <c r="I5" s="562"/>
      <c r="J5" s="562"/>
    </row>
    <row r="6" spans="1:10">
      <c r="A6" s="563" t="s">
        <v>528</v>
      </c>
      <c r="B6" s="563"/>
      <c r="C6" s="563"/>
      <c r="D6" s="563"/>
      <c r="E6" s="563"/>
      <c r="F6" s="563"/>
      <c r="G6" s="563"/>
      <c r="H6" s="563"/>
    </row>
  </sheetData>
  <mergeCells count="5">
    <mergeCell ref="A1:H1"/>
    <mergeCell ref="A3:A5"/>
    <mergeCell ref="I4:I5"/>
    <mergeCell ref="J4:J5"/>
    <mergeCell ref="A6:H6"/>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Sheet2</vt:lpstr>
      <vt:lpstr>Sheet3</vt:lpstr>
      <vt:lpstr>Break up details-Chemo</vt:lpstr>
      <vt:lpstr>RA-CHEMO AREA</vt:lpstr>
      <vt:lpstr>HVAC BOQ-1</vt:lpstr>
      <vt:lpstr>VRF-ODU </vt:lpstr>
      <vt:lpstr>DX-SPLIT </vt:lpstr>
      <vt:lpstr>VRF_IDU  </vt:lpstr>
      <vt:lpstr>RECUPERATOR</vt:lpstr>
      <vt:lpstr>UH-01</vt:lpstr>
      <vt:lpstr>AIR CURTAIN</vt:lpstr>
      <vt:lpstr>FRESH AIR FAN-R01</vt:lpstr>
      <vt:lpstr>EXHAUST FAN-R01 </vt:lpstr>
      <vt:lpstr>VAV &amp; CANVAS</vt:lpstr>
      <vt:lpstr>CDP</vt:lpstr>
      <vt:lpstr>Boq </vt:lpstr>
      <vt:lpstr>'AIR CURTAIN'!Print_Area</vt:lpstr>
      <vt:lpstr>'DX-SPLIT '!Print_Area</vt:lpstr>
      <vt:lpstr>'EXHAUST FAN-R01 '!Print_Area</vt:lpstr>
      <vt:lpstr>RECUPERATOR!Print_Area</vt:lpstr>
      <vt:lpstr>'VRF_IDU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admin</cp:lastModifiedBy>
  <cp:lastPrinted>2022-08-16T13:36:51Z</cp:lastPrinted>
  <dcterms:created xsi:type="dcterms:W3CDTF">2006-09-16T00:00:00Z</dcterms:created>
  <dcterms:modified xsi:type="dcterms:W3CDTF">2022-12-04T15:58:52Z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3BA6754E6B394942BB192F336A99CA90</vt:lpwstr>
  </property>
  <property fmtid="{D5CDD505-2E9C-101B-9397-08002B2CF9AE}" pid="3" name="KSOProductBuildVer">
    <vt:lpwstr>1033-11.2.0.11074</vt:lpwstr>
  </property>
</Properties>
</file>